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0" yWindow="0" windowWidth="28800" windowHeight="11535"/>
  </bookViews>
  <sheets>
    <sheet name="Read Me" sheetId="257" r:id="rId1"/>
    <sheet name="Options" sheetId="2" state="hidden" r:id="rId2"/>
    <sheet name="DashBoard" sheetId="1" r:id="rId3"/>
    <sheet name="Sheet8" sheetId="264" state="veryHidden" r:id="rId4"/>
    <sheet name="Sheet9" sheetId="265" state="veryHidden" r:id="rId5"/>
    <sheet name="Sheet10" sheetId="266" state="veryHidden" r:id="rId6"/>
    <sheet name="Sheet11" sheetId="267" state="veryHidden" r:id="rId7"/>
    <sheet name="Sheet12" sheetId="268" state="veryHidden" r:id="rId8"/>
    <sheet name="Sheet13" sheetId="269" state="veryHidden" r:id="rId9"/>
  </sheets>
  <calcPr calcId="162913"/>
</workbook>
</file>

<file path=xl/calcChain.xml><?xml version="1.0" encoding="utf-8"?>
<calcChain xmlns="http://schemas.openxmlformats.org/spreadsheetml/2006/main">
  <c r="E6" i="2" l="1"/>
  <c r="C9" i="1"/>
  <c r="C10" i="1"/>
  <c r="C11" i="1"/>
  <c r="C12" i="1"/>
  <c r="C13" i="1"/>
  <c r="C14" i="1"/>
  <c r="C20" i="1"/>
  <c r="F25" i="1"/>
  <c r="G25" i="1"/>
  <c r="G29" i="1" s="1"/>
  <c r="H25" i="1"/>
  <c r="J25" i="1"/>
  <c r="K25" i="1"/>
  <c r="F26" i="1"/>
  <c r="G26" i="1"/>
  <c r="H26" i="1"/>
  <c r="J26" i="1"/>
  <c r="K26" i="1"/>
  <c r="F27" i="1"/>
  <c r="G27" i="1"/>
  <c r="H27" i="1"/>
  <c r="H29" i="1" s="1"/>
  <c r="J27" i="1"/>
  <c r="K27" i="1"/>
  <c r="F28" i="1"/>
  <c r="G28" i="1"/>
  <c r="H28" i="1"/>
  <c r="J28" i="1"/>
  <c r="J29" i="1" s="1"/>
  <c r="J33" i="1" s="1"/>
  <c r="K28" i="1"/>
  <c r="K29" i="1"/>
  <c r="K33" i="1" s="1"/>
  <c r="F30" i="1"/>
  <c r="G30" i="1"/>
  <c r="H30" i="1"/>
  <c r="H32" i="1" s="1"/>
  <c r="J30" i="1"/>
  <c r="K30" i="1"/>
  <c r="F31" i="1"/>
  <c r="G31" i="1"/>
  <c r="H31" i="1"/>
  <c r="J31" i="1"/>
  <c r="K31" i="1"/>
  <c r="J32" i="1"/>
  <c r="K32" i="1"/>
  <c r="F34" i="1"/>
  <c r="G34" i="1"/>
  <c r="G41" i="1" s="1"/>
  <c r="H34" i="1"/>
  <c r="J34" i="1"/>
  <c r="J41" i="1" s="1"/>
  <c r="K34" i="1"/>
  <c r="F35" i="1"/>
  <c r="G35" i="1"/>
  <c r="H35" i="1"/>
  <c r="H41" i="1" s="1"/>
  <c r="J35" i="1"/>
  <c r="K35" i="1"/>
  <c r="K41" i="1" s="1"/>
  <c r="F36" i="1"/>
  <c r="G36" i="1"/>
  <c r="H36" i="1"/>
  <c r="J36" i="1"/>
  <c r="K36" i="1"/>
  <c r="F37" i="1"/>
  <c r="G37" i="1"/>
  <c r="H37" i="1"/>
  <c r="J37" i="1"/>
  <c r="K37" i="1"/>
  <c r="F38" i="1"/>
  <c r="G38" i="1"/>
  <c r="H38" i="1"/>
  <c r="J38" i="1"/>
  <c r="K38" i="1"/>
  <c r="F39" i="1"/>
  <c r="G39" i="1"/>
  <c r="H39" i="1"/>
  <c r="J39" i="1"/>
  <c r="K39" i="1"/>
  <c r="F40" i="1"/>
  <c r="G40" i="1"/>
  <c r="H40" i="1"/>
  <c r="J40" i="1"/>
  <c r="K40" i="1"/>
  <c r="F43" i="1"/>
  <c r="G43" i="1"/>
  <c r="H43" i="1"/>
  <c r="J43" i="1"/>
  <c r="K43" i="1"/>
  <c r="F44" i="1"/>
  <c r="G44" i="1"/>
  <c r="H44" i="1"/>
  <c r="J44" i="1"/>
  <c r="K44" i="1"/>
  <c r="F45" i="1"/>
  <c r="G45" i="1"/>
  <c r="H45" i="1"/>
  <c r="J45" i="1"/>
  <c r="K45" i="1"/>
  <c r="C52" i="1"/>
  <c r="C54" i="1"/>
  <c r="C56" i="1"/>
  <c r="F63" i="1"/>
  <c r="G63" i="1"/>
  <c r="G74" i="1" s="1"/>
  <c r="H63" i="1"/>
  <c r="H74" i="1" s="1"/>
  <c r="I63" i="1"/>
  <c r="I74" i="1" s="1"/>
  <c r="J63" i="1"/>
  <c r="K63" i="1"/>
  <c r="F65" i="1"/>
  <c r="G65" i="1"/>
  <c r="H65" i="1"/>
  <c r="I65" i="1"/>
  <c r="J65" i="1"/>
  <c r="K65" i="1"/>
  <c r="F66" i="1"/>
  <c r="G66" i="1"/>
  <c r="H66" i="1"/>
  <c r="I66" i="1"/>
  <c r="J66" i="1"/>
  <c r="J74" i="1" s="1"/>
  <c r="J83" i="1" s="1"/>
  <c r="K66" i="1"/>
  <c r="F67" i="1"/>
  <c r="G67" i="1"/>
  <c r="H67" i="1"/>
  <c r="I67" i="1"/>
  <c r="J67" i="1"/>
  <c r="K67" i="1"/>
  <c r="F68" i="1"/>
  <c r="G68" i="1"/>
  <c r="H68" i="1"/>
  <c r="I68" i="1"/>
  <c r="J68" i="1"/>
  <c r="K68" i="1"/>
  <c r="F69" i="1"/>
  <c r="G69" i="1"/>
  <c r="H69" i="1"/>
  <c r="I69" i="1"/>
  <c r="J69" i="1"/>
  <c r="K69" i="1"/>
  <c r="F70" i="1"/>
  <c r="G70" i="1"/>
  <c r="H70" i="1"/>
  <c r="I70" i="1"/>
  <c r="J70" i="1"/>
  <c r="K70" i="1"/>
  <c r="F71" i="1"/>
  <c r="G71" i="1"/>
  <c r="H71" i="1"/>
  <c r="I71" i="1"/>
  <c r="J71" i="1"/>
  <c r="K71" i="1"/>
  <c r="F72" i="1"/>
  <c r="G72" i="1"/>
  <c r="H72" i="1"/>
  <c r="I72" i="1"/>
  <c r="J72" i="1"/>
  <c r="K72" i="1"/>
  <c r="F73" i="1"/>
  <c r="G73" i="1"/>
  <c r="H73" i="1"/>
  <c r="I73" i="1"/>
  <c r="J73" i="1"/>
  <c r="K73" i="1"/>
  <c r="K74" i="1"/>
  <c r="K83" i="1" s="1"/>
  <c r="F75" i="1"/>
  <c r="G75" i="1"/>
  <c r="H75" i="1"/>
  <c r="H77" i="1" s="1"/>
  <c r="J75" i="1"/>
  <c r="K75" i="1"/>
  <c r="F76" i="1"/>
  <c r="G76" i="1"/>
  <c r="H76" i="1"/>
  <c r="J76" i="1"/>
  <c r="K76" i="1"/>
  <c r="J77" i="1"/>
  <c r="K77" i="1"/>
  <c r="F78" i="1"/>
  <c r="G78" i="1"/>
  <c r="G81" i="1" s="1"/>
  <c r="H78" i="1"/>
  <c r="J78" i="1"/>
  <c r="K78" i="1"/>
  <c r="F79" i="1"/>
  <c r="G79" i="1"/>
  <c r="H79" i="1"/>
  <c r="H81" i="1" s="1"/>
  <c r="J79" i="1"/>
  <c r="K79" i="1"/>
  <c r="F80" i="1"/>
  <c r="G80" i="1"/>
  <c r="H80" i="1"/>
  <c r="J80" i="1"/>
  <c r="K80" i="1"/>
  <c r="J81" i="1"/>
  <c r="K81" i="1"/>
  <c r="O25" i="1"/>
  <c r="R25" i="1"/>
  <c r="R27" i="1" s="1"/>
  <c r="O26" i="1"/>
  <c r="O31" i="1" s="1"/>
  <c r="N26" i="1"/>
  <c r="N31" i="1" s="1"/>
  <c r="N52" i="1"/>
  <c r="O52" i="1"/>
  <c r="P52" i="1" s="1"/>
  <c r="R52" i="1" s="1"/>
  <c r="N54" i="1"/>
  <c r="O54" i="1"/>
  <c r="N56" i="1"/>
  <c r="O56" i="1"/>
  <c r="P56" i="1"/>
  <c r="R56" i="1" s="1"/>
  <c r="P54" i="1"/>
  <c r="R54" i="1" s="1"/>
  <c r="R26" i="1"/>
  <c r="R31" i="1" s="1"/>
  <c r="Q26" i="1"/>
  <c r="Q31" i="1" s="1"/>
  <c r="Q25" i="1"/>
  <c r="Q30" i="1" s="1"/>
  <c r="Q32" i="1" s="1"/>
  <c r="G83" i="1" l="1"/>
  <c r="K42" i="1"/>
  <c r="K46" i="1" s="1"/>
  <c r="K54" i="1"/>
  <c r="H33" i="1"/>
  <c r="H56" i="1"/>
  <c r="J42" i="1"/>
  <c r="J46" i="1" s="1"/>
  <c r="J54" i="1"/>
  <c r="G33" i="1"/>
  <c r="G56" i="1"/>
  <c r="H83" i="1"/>
  <c r="G32" i="1"/>
  <c r="G77" i="1"/>
  <c r="O30" i="1"/>
  <c r="O32" i="1" s="1"/>
  <c r="O27" i="1"/>
  <c r="N25" i="1"/>
  <c r="Q27" i="1"/>
  <c r="R30" i="1"/>
  <c r="R32" i="1" s="1"/>
  <c r="G54" i="1" l="1"/>
  <c r="I54" i="1" s="1"/>
  <c r="G42" i="1"/>
  <c r="H54" i="1"/>
  <c r="H42" i="1"/>
  <c r="N30" i="1"/>
  <c r="N32" i="1" s="1"/>
  <c r="N27" i="1"/>
  <c r="C3" i="1"/>
  <c r="D6" i="2"/>
  <c r="D5" i="2"/>
  <c r="G58" i="1" l="1"/>
  <c r="G46" i="1"/>
  <c r="B9" i="1"/>
  <c r="I23" i="1"/>
  <c r="I61" i="1" s="1"/>
  <c r="I50" i="1" s="1"/>
  <c r="G17" i="1"/>
  <c r="G22" i="1"/>
  <c r="J23" i="1"/>
  <c r="J61" i="1" s="1"/>
  <c r="J50" i="1" s="1"/>
  <c r="G61" i="1"/>
  <c r="N50" i="1"/>
  <c r="G23" i="1"/>
  <c r="G50" i="1" s="1"/>
  <c r="H58" i="1"/>
  <c r="H46" i="1"/>
  <c r="N22" i="1"/>
  <c r="B13" i="1"/>
  <c r="B11" i="1"/>
  <c r="C4" i="1"/>
  <c r="C5" i="1"/>
  <c r="C16" i="1" s="1"/>
  <c r="C8" i="1"/>
  <c r="C17" i="1" l="1"/>
  <c r="C18" i="1" s="1"/>
  <c r="I22" i="1"/>
  <c r="J22" i="1"/>
  <c r="G21" i="1"/>
  <c r="I21" i="1"/>
  <c r="J21" i="1"/>
  <c r="H22" i="1"/>
  <c r="O22" i="1" s="1"/>
  <c r="K23" i="1"/>
  <c r="K61" i="1" s="1"/>
  <c r="K50" i="1" s="1"/>
  <c r="H61" i="1"/>
  <c r="O50" i="1"/>
  <c r="H23" i="1"/>
  <c r="H50" i="1" s="1"/>
  <c r="N23" i="1"/>
  <c r="P22" i="1"/>
  <c r="Q22" i="1"/>
  <c r="P23" i="1"/>
  <c r="P21" i="1"/>
  <c r="C7" i="1"/>
  <c r="Q23" i="1"/>
  <c r="B14" i="1"/>
  <c r="B12" i="1"/>
  <c r="B10" i="1"/>
  <c r="C6" i="1"/>
  <c r="I31" i="1" l="1"/>
  <c r="I34" i="1"/>
  <c r="I41" i="1" s="1"/>
  <c r="I38" i="1"/>
  <c r="I45" i="1"/>
  <c r="I27" i="1"/>
  <c r="I79" i="1"/>
  <c r="I36" i="1"/>
  <c r="I40" i="1"/>
  <c r="I43" i="1"/>
  <c r="I84" i="1"/>
  <c r="I25" i="1"/>
  <c r="I35" i="1"/>
  <c r="I39" i="1"/>
  <c r="I30" i="1"/>
  <c r="I80" i="1"/>
  <c r="I28" i="1"/>
  <c r="I76" i="1"/>
  <c r="I37" i="1"/>
  <c r="I26" i="1"/>
  <c r="P26" i="1" s="1"/>
  <c r="I44" i="1"/>
  <c r="I78" i="1"/>
  <c r="I75" i="1"/>
  <c r="I42" i="1"/>
  <c r="K21" i="1"/>
  <c r="H21" i="1"/>
  <c r="K22" i="1"/>
  <c r="R22" i="1" s="1"/>
  <c r="R23" i="1"/>
  <c r="Q21" i="1"/>
  <c r="J85" i="1"/>
  <c r="O23" i="1"/>
  <c r="N21" i="1"/>
  <c r="I29" i="1" l="1"/>
  <c r="I33" i="1" s="1"/>
  <c r="I46" i="1"/>
  <c r="I77" i="1"/>
  <c r="I32" i="1"/>
  <c r="I81" i="1"/>
  <c r="P25" i="1"/>
  <c r="G85" i="1"/>
  <c r="P31" i="1"/>
  <c r="R21" i="1"/>
  <c r="K85" i="1"/>
  <c r="H85" i="1"/>
  <c r="O21" i="1"/>
  <c r="I83" i="1" l="1"/>
  <c r="I85" i="1" s="1"/>
  <c r="P30" i="1"/>
  <c r="P32" i="1" s="1"/>
  <c r="P27" i="1"/>
</calcChain>
</file>

<file path=xl/sharedStrings.xml><?xml version="1.0" encoding="utf-8"?>
<sst xmlns="http://schemas.openxmlformats.org/spreadsheetml/2006/main" count="1696" uniqueCount="480">
  <si>
    <t>Profit and Loss Statement (Total)</t>
  </si>
  <si>
    <t>Key Performance Measures</t>
  </si>
  <si>
    <t>Actual</t>
  </si>
  <si>
    <t>Forecast</t>
  </si>
  <si>
    <t>Budget</t>
  </si>
  <si>
    <t>Sales Margin (%)</t>
  </si>
  <si>
    <t xml:space="preserve">Gross Profit </t>
  </si>
  <si>
    <t>Return on Total Assets (%)</t>
  </si>
  <si>
    <t>Net Profit Before Tax</t>
  </si>
  <si>
    <t>Net Profit After Tax</t>
  </si>
  <si>
    <t>Total Liabilities</t>
  </si>
  <si>
    <t>Profit and Loss Statement (Division)</t>
  </si>
  <si>
    <t>Total Liabilities and Equity</t>
  </si>
  <si>
    <t>Cash Flow Statement</t>
  </si>
  <si>
    <t>Net Sales</t>
  </si>
  <si>
    <t>Net Cash From/(Used in) Operating Activities</t>
  </si>
  <si>
    <t>Net Cash From/(Used in) Investing Activities</t>
  </si>
  <si>
    <t>Net Cash From/(Used in) Financing Activities</t>
  </si>
  <si>
    <t>Net Increase/(Decrease) in Cash</t>
  </si>
  <si>
    <t>Account no.</t>
  </si>
  <si>
    <t xml:space="preserve">Total Net Sales </t>
  </si>
  <si>
    <t>hide</t>
  </si>
  <si>
    <t xml:space="preserve">Total Cost of Sales </t>
  </si>
  <si>
    <t xml:space="preserve">Total Expenses </t>
  </si>
  <si>
    <t>16300|17200|18200</t>
  </si>
  <si>
    <t>Changes in Current Assets and Liabilities</t>
  </si>
  <si>
    <t>18100..18120</t>
  </si>
  <si>
    <t>16200..16220|17100..17120</t>
  </si>
  <si>
    <t>25000..25400</t>
  </si>
  <si>
    <t>11100..11700</t>
  </si>
  <si>
    <t>Total Assets</t>
  </si>
  <si>
    <t>EXECUTIVE DASHBOARD</t>
  </si>
  <si>
    <t>option</t>
  </si>
  <si>
    <t>title</t>
  </si>
  <si>
    <t>value</t>
  </si>
  <si>
    <t>Enter the Date for Analysing</t>
  </si>
  <si>
    <t>fit</t>
  </si>
  <si>
    <t>52300</t>
  </si>
  <si>
    <t>61400</t>
  </si>
  <si>
    <t>62950</t>
  </si>
  <si>
    <t>64400</t>
  </si>
  <si>
    <t>65400</t>
  </si>
  <si>
    <t>65900</t>
  </si>
  <si>
    <t>66400</t>
  </si>
  <si>
    <t>67600</t>
  </si>
  <si>
    <t>99999</t>
  </si>
  <si>
    <t>12300</t>
  </si>
  <si>
    <t>13400</t>
  </si>
  <si>
    <t>14500</t>
  </si>
  <si>
    <t>22500</t>
  </si>
  <si>
    <t>22100</t>
  </si>
  <si>
    <t>23900</t>
  </si>
  <si>
    <t>24400</t>
  </si>
  <si>
    <t>30200</t>
  </si>
  <si>
    <t>Report Options</t>
  </si>
  <si>
    <t>Auto+Hide+Values</t>
  </si>
  <si>
    <t>About the report</t>
  </si>
  <si>
    <t>Version of Jet</t>
  </si>
  <si>
    <t>Click here for downloads</t>
  </si>
  <si>
    <t>Questions About This Report</t>
  </si>
  <si>
    <t>Click here to contact sample reports</t>
  </si>
  <si>
    <t>Services</t>
  </si>
  <si>
    <t>Training</t>
  </si>
  <si>
    <t>Sales</t>
  </si>
  <si>
    <t>Disclaimer</t>
  </si>
  <si>
    <t>Copyrights</t>
  </si>
  <si>
    <t>Days in this year</t>
  </si>
  <si>
    <t># of days YTD</t>
  </si>
  <si>
    <t>Balance Sheet as of</t>
  </si>
  <si>
    <t>=DATE(YEAR(C3)-1,MONTH(C3),DAY(C3))</t>
  </si>
  <si>
    <t>=DATE(YEAR(C3),1,1)</t>
  </si>
  <si>
    <t>=C5-1</t>
  </si>
  <si>
    <t>=DATE(YEAR(C3)+1,1,1)-1</t>
  </si>
  <si>
    <t>=(TEXT(C3,"mmm 'yy"))</t>
  </si>
  <si>
    <t>=NP("datefilter",DATE(YEAR(C3),MONTH(C3),1),DATE(YEAR(C3),MONTH(C3)+1,0))</t>
  </si>
  <si>
    <t>=(TEXT(C4,"mmm 'yy"))</t>
  </si>
  <si>
    <t>=NP("datefilter",DATE(YEAR(C3)-1,MONTH(C3),1),DATE(YEAR(C3)-1,MONTH(C3)+1,0))</t>
  </si>
  <si>
    <t>="YTD" &amp; " " &amp; (TEXT(C3,"mmm 'yy"))</t>
  </si>
  <si>
    <t>="YTD" &amp; " " &amp; (TEXT(C4,"mmm 'yy"))</t>
  </si>
  <si>
    <t>="FY"&amp;" "&amp;YEAR(C3)</t>
  </si>
  <si>
    <t>=NP("Datefilter",DATE(YEAR(C3),1,1),DATE(YEAR(C3)+1,1,0))</t>
  </si>
  <si>
    <t>= "FY" &amp; " " &amp; YEAR(C4)</t>
  </si>
  <si>
    <t>=NP("Datefilter",DATE(YEAR(C3)-1,1,1),DATE(YEAR(C3),1,0))</t>
  </si>
  <si>
    <t>=DAYS(C3,C5)+1</t>
  </si>
  <si>
    <t>="MANAGEMENT REPORT For" &amp; " " &amp; TEXT($C$3, "mmm 'YY")</t>
  </si>
  <si>
    <t>="FY" &amp; " " &amp; YEAR(C3)</t>
  </si>
  <si>
    <t>44100</t>
  </si>
  <si>
    <t>44200</t>
  </si>
  <si>
    <t>=NL(,"G/L Account","Name","No.",$D25)</t>
  </si>
  <si>
    <t>52100</t>
  </si>
  <si>
    <t>=NL(,"G/L Account","Name","No.",$D34)</t>
  </si>
  <si>
    <t>=NL(,"G/L Account","Name","No.",$D37)</t>
  </si>
  <si>
    <t>=NL(,"G/L Account","Name","No.",$D38)</t>
  </si>
  <si>
    <t>=NL(,"G/L Account","Name","No.",$D39)</t>
  </si>
  <si>
    <t>="For" &amp; " " &amp; TEXT(C3,"MMm 'YY")</t>
  </si>
  <si>
    <t>="For" &amp; " " &amp; TEXT($C$4,"MMm 'YY")</t>
  </si>
  <si>
    <t>=NL(,"G/L Account","Name","No.",$D66)</t>
  </si>
  <si>
    <t>=NL(,"G/L Account","Name","No.",$D67)</t>
  </si>
  <si>
    <t>=NL(,"G/L Account","Name","No.",$D68)</t>
  </si>
  <si>
    <t>=NL(,"G/L Account","Name","No.",$D69)</t>
  </si>
  <si>
    <t>=NL(,"G/L Account","Name","No.",$D70)</t>
  </si>
  <si>
    <t>=NL(,"G/L Account","Name","No.",$D71)</t>
  </si>
  <si>
    <t>Hide</t>
  </si>
  <si>
    <t>Start</t>
  </si>
  <si>
    <t>End</t>
  </si>
  <si>
    <t>=DATE(YEAR(C4),1,1)</t>
  </si>
  <si>
    <t>=DAYS(C8,C5)+1</t>
  </si>
  <si>
    <t>=$C$5</t>
  </si>
  <si>
    <t>=$C$6</t>
  </si>
  <si>
    <t>=$C$3</t>
  </si>
  <si>
    <t>=$C$4</t>
  </si>
  <si>
    <t>=$C$8</t>
  </si>
  <si>
    <t>=$C$7</t>
  </si>
  <si>
    <t>=-GL("Balance",$D25,G$21,G$22)</t>
  </si>
  <si>
    <t>=-GL("Balance",$D25,H$21,H$22)</t>
  </si>
  <si>
    <t>=-GL("Balance",$D25,K$21,K$22)</t>
  </si>
  <si>
    <t>=NL(,"G/L Account","Name","No.",$D26)</t>
  </si>
  <si>
    <t>=-GL("Balance",$D26,G$21,G$22)</t>
  </si>
  <si>
    <t>=-GL("Balance",$D26,H$21,H$22)</t>
  </si>
  <si>
    <t>=-GL("Balance",$D26,K$21,K$22)</t>
  </si>
  <si>
    <t>=-GL("Balance",$D27,G$21,G$22)</t>
  </si>
  <si>
    <t>=-GL("Balance",$D27,H$21,H$22)</t>
  </si>
  <si>
    <t>=-GL("Balance",$D27,K$21,K$22)</t>
  </si>
  <si>
    <t>=NL(,"G/L Account","Name","No.",$D30)</t>
  </si>
  <si>
    <t>=-GL("Balance",$D30,H$21,H$22)</t>
  </si>
  <si>
    <t>=-GL("Balance",$D34,G$21,G$22)</t>
  </si>
  <si>
    <t>=-GL("Balance",$D34,H$21,H$22)</t>
  </si>
  <si>
    <t>=-GL("Balance",$D34,K$21,K$22)</t>
  </si>
  <si>
    <t>=-GL("Balance",$D37,G$21,G$22)</t>
  </si>
  <si>
    <t>=-GL("Balance",$D37,H$21,H$22)</t>
  </si>
  <si>
    <t>=-GL("Balance",$D37,K$21,K$22)</t>
  </si>
  <si>
    <t>=-GL("Balance",$D38,G$21,G$22)</t>
  </si>
  <si>
    <t>=-GL("Balance",$D38,H$21,H$22)</t>
  </si>
  <si>
    <t>=-GL("Balance",$D38,K$21,K$22)</t>
  </si>
  <si>
    <t>=-GL("Balance",$D39,G$21,G$22)</t>
  </si>
  <si>
    <t>=-GL("Balance",$D39,H$21,H$22)</t>
  </si>
  <si>
    <t>=-GL("Balance",$D39,K$21,K$22)</t>
  </si>
  <si>
    <t>=NL(,"G/L Account","Name","No.",$D43)</t>
  </si>
  <si>
    <t>=-GL("Balance",$D43,G$21,G$22)</t>
  </si>
  <si>
    <t>=-GL("Balance",$D43,H$21,H$22)</t>
  </si>
  <si>
    <t>=-GL("Balance",$D43,K$21,K$22)</t>
  </si>
  <si>
    <t>=NL(,"G/L Account","Name","No.",$D44)</t>
  </si>
  <si>
    <t>=-GL("Balance",$D44,G$21,G$22)</t>
  </si>
  <si>
    <t>=-GL("Balance",$D44,H$21,H$22)</t>
  </si>
  <si>
    <t>=-GL("Balance",$D44,K$21,K$22)</t>
  </si>
  <si>
    <t>=NL(,"G/L Account","Name","No.",$D72)</t>
  </si>
  <si>
    <t>=NL(,"G/L Account","Name","No.",$D79)</t>
  </si>
  <si>
    <t>North America</t>
  </si>
  <si>
    <t>EU</t>
  </si>
  <si>
    <t>Gross Profit</t>
  </si>
  <si>
    <t>=G21</t>
  </si>
  <si>
    <t>=H21</t>
  </si>
  <si>
    <t>=I21</t>
  </si>
  <si>
    <t>=J21</t>
  </si>
  <si>
    <t>=K21</t>
  </si>
  <si>
    <t>=G22</t>
  </si>
  <si>
    <t>=H22</t>
  </si>
  <si>
    <t>=I22</t>
  </si>
  <si>
    <t>=J22</t>
  </si>
  <si>
    <t>=K22</t>
  </si>
  <si>
    <t>45100</t>
  </si>
  <si>
    <t>45200</t>
  </si>
  <si>
    <t>=NL(,"G/L Account","Name","No.",$D27)</t>
  </si>
  <si>
    <t>=NL(,"G/L Account","Name","No.",$D35)</t>
  </si>
  <si>
    <t>=-GL("Balance",$D35,G$21,G$22)</t>
  </si>
  <si>
    <t>=-GL("Balance",$D35,H$21,H$22)</t>
  </si>
  <si>
    <t>=-GL("Balance",$D35,K$21,K$22)</t>
  </si>
  <si>
    <t>=NL(,"G/L Account","Name","No.",$D36)</t>
  </si>
  <si>
    <t>=-GL("Balance",$D36,G$21,G$22)</t>
  </si>
  <si>
    <t>=-GL("Balance",$D36,H$21,H$22)</t>
  </si>
  <si>
    <t>=-GL("Balance",$D36,K$21,K$22)</t>
  </si>
  <si>
    <t>79950</t>
  </si>
  <si>
    <t>81300</t>
  </si>
  <si>
    <t>84300</t>
  </si>
  <si>
    <t>=C3</t>
  </si>
  <si>
    <t>=C4</t>
  </si>
  <si>
    <t>19950</t>
  </si>
  <si>
    <t>25995</t>
  </si>
  <si>
    <t>39950</t>
  </si>
  <si>
    <t>=NL(,"G/L Account","Name","No.",$D65)</t>
  </si>
  <si>
    <t>=NL(,"G/L Account","Name","No.",$D75)</t>
  </si>
  <si>
    <t>=NL(,"G/L Account","Name","No.",$D78)</t>
  </si>
  <si>
    <t>Budget Name</t>
  </si>
  <si>
    <t>Lookup</t>
  </si>
  <si>
    <t>=NL("Lookup","95 G/L Budget Name","1 Name")</t>
  </si>
  <si>
    <t>=-GL("Balance",$D65,G$21,G$22)</t>
  </si>
  <si>
    <t>=-GL("Balance",$D65,H$21,H$22)</t>
  </si>
  <si>
    <t>=-GL("Balance",$D65,I$21,I$22)</t>
  </si>
  <si>
    <t>=-GL("Balance",$D65,J$21,J$22)</t>
  </si>
  <si>
    <t>=-GL("Balance",$D65,K$21,K$22)</t>
  </si>
  <si>
    <t>=-GL("Balance",$D66,G$21,G$22)</t>
  </si>
  <si>
    <t>=-GL("Balance",$D66,H$21,H$22)</t>
  </si>
  <si>
    <t>=-GL("Balance",$D66,I$21,I$22)</t>
  </si>
  <si>
    <t>=-GL("Balance",$D66,J$21,J$22)</t>
  </si>
  <si>
    <t>=-GL("Balance",$D66,K$21,K$22)</t>
  </si>
  <si>
    <t>=-GL("Balance",$D67,G$21,G$22)</t>
  </si>
  <si>
    <t>=-GL("Balance",$D67,H$21,H$22)</t>
  </si>
  <si>
    <t>=-GL("Balance",$D67,I$21,I$22)</t>
  </si>
  <si>
    <t>=-GL("Balance",$D67,J$21,J$22)</t>
  </si>
  <si>
    <t>=-GL("Balance",$D67,K$21,K$22)</t>
  </si>
  <si>
    <t>=-GL("Balance",$D69,G$21,G$22)</t>
  </si>
  <si>
    <t>=-GL("Balance",$D69,H$21,H$22)</t>
  </si>
  <si>
    <t>=-GL("Balance",$D69,I$21,I$22)</t>
  </si>
  <si>
    <t>=-GL("Balance",$D69,J$21,J$22)</t>
  </si>
  <si>
    <t>=-GL("Balance",$D69,K$21,K$22)</t>
  </si>
  <si>
    <t>=-GL("Balance",$D70,G$21,G$22)</t>
  </si>
  <si>
    <t>=-GL("Balance",$D70,H$21,H$22)</t>
  </si>
  <si>
    <t>=-GL("Balance",$D70,I$21,I$22)</t>
  </si>
  <si>
    <t>=-GL("Balance",$D70,J$21,J$22)</t>
  </si>
  <si>
    <t>=-GL("Balance",$D70,K$21,K$22)</t>
  </si>
  <si>
    <t>=-GL("Balance",$D71,G$21,G$22)</t>
  </si>
  <si>
    <t>=-GL("Balance",$D71,H$21,H$22)</t>
  </si>
  <si>
    <t>=-GL("Balance",$D71,I$21,I$22)</t>
  </si>
  <si>
    <t>=-GL("Balance",$D71,J$21,J$22)</t>
  </si>
  <si>
    <t>=-GL("Balance",$D71,K$21,K$22)</t>
  </si>
  <si>
    <t>=-GL("Balance",$D72,G$21,G$22)</t>
  </si>
  <si>
    <t>=-GL("Balance",$D72,H$21,H$22)</t>
  </si>
  <si>
    <t>=-GL("Balance",$D72,I$21,I$22)</t>
  </si>
  <si>
    <t>=-GL("Balance",$D72,J$21,J$22)</t>
  </si>
  <si>
    <t>=-GL("Balance",$D72,K$21,K$22)</t>
  </si>
  <si>
    <t>=GL("Balance",$D75,G$21,G$22)</t>
  </si>
  <si>
    <t>=GL("Balance",$D75,H$21,H$22)</t>
  </si>
  <si>
    <t>=GL("Balance",$D75,K$21,K$22)</t>
  </si>
  <si>
    <t>Cash at Beginning of Period</t>
  </si>
  <si>
    <t>Cash at End of Period</t>
  </si>
  <si>
    <t>13540</t>
  </si>
  <si>
    <t>=-GL("Balance",$D68,G$21,G$22)</t>
  </si>
  <si>
    <t>=-GL("Balance",$D68,H$21,H$22)</t>
  </si>
  <si>
    <t>=-GL("Balance",$D68,I$21,I$22)</t>
  </si>
  <si>
    <t>=-GL("Balance",$D68,J$21,J$22)</t>
  </si>
  <si>
    <t>=-GL("Balance",$D68,K$21,K$22)</t>
  </si>
  <si>
    <t>30100|30500</t>
  </si>
  <si>
    <t>=-GL("Balance",$D78,G$21,G$22)</t>
  </si>
  <si>
    <t>=-GL("Balance",$D78,H$21,H$22)</t>
  </si>
  <si>
    <t>=-GL("Balance",$D78,K$21,K$22)</t>
  </si>
  <si>
    <t>=-GL("Balance",$D79,G$21,G$22)</t>
  </si>
  <si>
    <t>=-GL("Balance",$D79,H$21,H$22)</t>
  </si>
  <si>
    <t>=-GL("Balance",$D79,K$21,K$22)</t>
  </si>
  <si>
    <t>=C16/C17</t>
  </si>
  <si>
    <t>=G23</t>
  </si>
  <si>
    <t>=H23</t>
  </si>
  <si>
    <t>=I23</t>
  </si>
  <si>
    <t>=J23</t>
  </si>
  <si>
    <t>=K23</t>
  </si>
  <si>
    <t>=G25/$C$18</t>
  </si>
  <si>
    <t>=G26/$C$18</t>
  </si>
  <si>
    <t>=G27/$C$18</t>
  </si>
  <si>
    <t>=SUM(N25:N26)</t>
  </si>
  <si>
    <t>=SUM(O25:O26)</t>
  </si>
  <si>
    <t>=SUM(P25:P26)</t>
  </si>
  <si>
    <t>=SUM(Q25:Q26)</t>
  </si>
  <si>
    <t>=SUM(R25:R26)</t>
  </si>
  <si>
    <t>=NL(,"G/L Account","Name","No.",$D28)</t>
  </si>
  <si>
    <t>=G28/$C$18</t>
  </si>
  <si>
    <t>=SUM(G25:G28)</t>
  </si>
  <si>
    <t>=SUM(H25:H28)</t>
  </si>
  <si>
    <t>=SUM(I25:I28)</t>
  </si>
  <si>
    <t>=SUM(J25:J28)</t>
  </si>
  <si>
    <t>=SUM(K25:K28)</t>
  </si>
  <si>
    <t>=G30/$C$18</t>
  </si>
  <si>
    <t>=NL(,"G/L Account","Name","No.",$D31)</t>
  </si>
  <si>
    <t>=G31/$C$18</t>
  </si>
  <si>
    <t>=SUM(G30:G31)</t>
  </si>
  <si>
    <t>=SUM(H30:H31)</t>
  </si>
  <si>
    <t>=SUM(I30:I31)</t>
  </si>
  <si>
    <t>=SUM(J30:J31)</t>
  </si>
  <si>
    <t>=SUM(K30:K31)</t>
  </si>
  <si>
    <t>=G29+G32</t>
  </si>
  <si>
    <t>=H29+H32</t>
  </si>
  <si>
    <t>=I29+I32</t>
  </si>
  <si>
    <t>=J29+J32</t>
  </si>
  <si>
    <t>=K29+K32</t>
  </si>
  <si>
    <t>=G34/$C$18</t>
  </si>
  <si>
    <t>=G35/$C$18</t>
  </si>
  <si>
    <t>=G36/$C$18</t>
  </si>
  <si>
    <t>=G37/$C$18</t>
  </si>
  <si>
    <t>=G38/$C$18</t>
  </si>
  <si>
    <t>=G39/$C$18</t>
  </si>
  <si>
    <t>=NL(,"G/L Account","Name","No.",$D40)</t>
  </si>
  <si>
    <t>=G40/$C$18</t>
  </si>
  <si>
    <t>=SUM(G34:G40)</t>
  </si>
  <si>
    <t>=SUM(H34:H40)</t>
  </si>
  <si>
    <t>=SUM(I34:I40)</t>
  </si>
  <si>
    <t>=SUM(J34:J40)</t>
  </si>
  <si>
    <t>=SUM(K34:K40)</t>
  </si>
  <si>
    <t>=G33+G41</t>
  </si>
  <si>
    <t>=H33+H41</t>
  </si>
  <si>
    <t>=G42/$C$18</t>
  </si>
  <si>
    <t>=J33+J41</t>
  </si>
  <si>
    <t>=K33+K41</t>
  </si>
  <si>
    <t>=G43/$C$18</t>
  </si>
  <si>
    <t>=G44/$C$18</t>
  </si>
  <si>
    <t>=NL(,"G/L Account","Name","No.",$D45)</t>
  </si>
  <si>
    <t>=G45/$C$18</t>
  </si>
  <si>
    <t>=SUM(G42:G45)</t>
  </si>
  <si>
    <t>=SUM(H42:H45)</t>
  </si>
  <si>
    <t>=SUM(I42:I45)</t>
  </si>
  <si>
    <t>=SUM(J42:J45)</t>
  </si>
  <si>
    <t>=SUM(K42:K45)</t>
  </si>
  <si>
    <t>=I61</t>
  </si>
  <si>
    <t>=J61</t>
  </si>
  <si>
    <t>=K61</t>
  </si>
  <si>
    <t>=M54</t>
  </si>
  <si>
    <t>=IF(ISERROR(G33/G29),0,G33/G29)</t>
  </si>
  <si>
    <t>=IF(ISERROR(H33/H29),0,H33/H29)</t>
  </si>
  <si>
    <t>=G54</t>
  </si>
  <si>
    <t>=IF(ISERROR(J33/J29),0,J33/J29)</t>
  </si>
  <si>
    <t>=IF(ISERROR(K33/K29),0,K33/K29)</t>
  </si>
  <si>
    <t>=M56</t>
  </si>
  <si>
    <t>=NL(,"G/L Account","Name","No.",$D63)</t>
  </si>
  <si>
    <t>=NL(,"G/L Account","Name","No.",$D73)</t>
  </si>
  <si>
    <t>=SUM(G63:G73)</t>
  </si>
  <si>
    <t>=SUM(H63:H73)</t>
  </si>
  <si>
    <t>=SUM(I63:I73)</t>
  </si>
  <si>
    <t>=SUM(J63:J73)</t>
  </si>
  <si>
    <t>=SUM(K63:K73)</t>
  </si>
  <si>
    <t>=G75/$C$18</t>
  </si>
  <si>
    <t>=NL(,"G/L Account","Name","No.",$D76)</t>
  </si>
  <si>
    <t>=G76/$C$18</t>
  </si>
  <si>
    <t>=SUM(G75:G76)</t>
  </si>
  <si>
    <t>=SUM(H75:H76)</t>
  </si>
  <si>
    <t>=SUM(I75:I76)</t>
  </si>
  <si>
    <t>=SUM(J75:J76)</t>
  </si>
  <si>
    <t>=SUM(K75:K76)</t>
  </si>
  <si>
    <t>=G78/$C$18</t>
  </si>
  <si>
    <t>=G79/$C$18</t>
  </si>
  <si>
    <t>=NL(,"G/L Account","Name","No.",$D80)</t>
  </si>
  <si>
    <t>=G80/$C$18</t>
  </si>
  <si>
    <t>=SUM(G78:G80)</t>
  </si>
  <si>
    <t>=SUM(H78:H80)</t>
  </si>
  <si>
    <t>=SUM(I78:I80)</t>
  </si>
  <si>
    <t>=SUM(J78:J80)</t>
  </si>
  <si>
    <t>=SUM(K78:K80)</t>
  </si>
  <si>
    <t>=G74+G77+G81</t>
  </si>
  <si>
    <t>=H74+H77+H81</t>
  </si>
  <si>
    <t>=I74+I77+I81</t>
  </si>
  <si>
    <t>=J74+J77+J81</t>
  </si>
  <si>
    <t>=K74+K77+K81</t>
  </si>
  <si>
    <t>=G84/$C$18</t>
  </si>
  <si>
    <t>=SUM(G83:G84)</t>
  </si>
  <si>
    <t>=SUM(H83:H84)</t>
  </si>
  <si>
    <t>=SUM(I83:I84)</t>
  </si>
  <si>
    <t>=SUM(J83:J84)</t>
  </si>
  <si>
    <t>=SUM(K83:K84)</t>
  </si>
  <si>
    <t>=-GL("Budget",$D25,J$21,J$22,,,,,,,$C$20)</t>
  </si>
  <si>
    <t>=-GL("Budget",$D26,J$21,J$22,,,,,,,$C$20)</t>
  </si>
  <si>
    <t>=-GL("Budget",$D27,J$21,J$22,,,,,,,$C$20)</t>
  </si>
  <si>
    <t>=-GL("Balance",$D28,G$21,G$22)</t>
  </si>
  <si>
    <t>=-GL("Balance",$D28,H$21,H$22)</t>
  </si>
  <si>
    <t>=-GL("Budget",$D28,J$21,J$22,,,,,,,$C$20)</t>
  </si>
  <si>
    <t>=-GL("Balance",$D28,K$21,K$22)</t>
  </si>
  <si>
    <t>=-GL("Balance",$D31,G$21,G$22)</t>
  </si>
  <si>
    <t>=-GL("Budget",$D30,J$21,J$22,,,,,,,$C$20)</t>
  </si>
  <si>
    <t>=-GL("Balance",$D31,K$21,K$22)</t>
  </si>
  <si>
    <t>=-GL("Balance",$D31,H$21,H$22)</t>
  </si>
  <si>
    <t>=-GL("Budget",$D31,J$21,J$22,,,,,,,$C$20)</t>
  </si>
  <si>
    <t>=-GL("Budget",$D34,J$21,J$22,,,,,,,$C$20)</t>
  </si>
  <si>
    <t>=-GL("Budget",$D35,J$21,J$22,,,,,,,$C$20)</t>
  </si>
  <si>
    <t>=-GL("Budget",$D36,J$21,J$22,,,,,,,$C$20)</t>
  </si>
  <si>
    <t>=-GL("Budget",$D37,J$21,J$22,,,,,,,$C$20)</t>
  </si>
  <si>
    <t>=-GL("Budget",$D38,J$21,J$22,,,,,,,$C$20)</t>
  </si>
  <si>
    <t>=-GL("Budget",$D39,J$21,J$22,,,,,,,$C$20)</t>
  </si>
  <si>
    <t>=-GL("Balance",$D40,G$21,G$22)</t>
  </si>
  <si>
    <t>=-GL("Balance",$D40,H$21,H$22)</t>
  </si>
  <si>
    <t>=-GL("Budget",$D40,J$21,J$22,,,,,,,$C$20)</t>
  </si>
  <si>
    <t>=-GL("Balance",$D40,K$21,K$22)</t>
  </si>
  <si>
    <t>=-GL("Budget",$D43,J$21,J$22,,,,,,,$C$20)</t>
  </si>
  <si>
    <t>=-GL("Budget",$D44,J$21,J$22,,,,,,,$C$20)</t>
  </si>
  <si>
    <t>=-GL("Balance",$D45,G$21,G$22)</t>
  </si>
  <si>
    <t>=-GL("Balance",$D45,H$21,H$22)</t>
  </si>
  <si>
    <t>=-GL("Budget",$D45,J$21,J$22,,,,,,,$C$20)</t>
  </si>
  <si>
    <t>=-GL("Balance",$D45,K$21,K$22)</t>
  </si>
  <si>
    <t>=-GL("Balance",$D63,G$21,G$22)</t>
  </si>
  <si>
    <t>=-GL("Balance",$D63,H$21,H$22)</t>
  </si>
  <si>
    <t>=-GL("Balance",$D63,I$21,I$22)</t>
  </si>
  <si>
    <t>=-GL("Balance",$D63,J$21,J$22)</t>
  </si>
  <si>
    <t>=-GL("Balance",$D63,K$21,K$22)</t>
  </si>
  <si>
    <t>=-GL("Balance",$D73,G$21,G$22)</t>
  </si>
  <si>
    <t>=-GL("Balance",$D73,H$21,H$22)</t>
  </si>
  <si>
    <t>=-GL("Balance",$D73,I$21,I$22)</t>
  </si>
  <si>
    <t>=-GL("Balance",$D73,J$21,J$22)</t>
  </si>
  <si>
    <t>=-GL("Balance",$D73,K$21,K$22)</t>
  </si>
  <si>
    <t>=GL("Budget",$D75,J$21,J$22,,,,,,,$C$20)</t>
  </si>
  <si>
    <t>=GL("Balance",$D76,G$21,G$22)</t>
  </si>
  <si>
    <t>=GL("Balance",$D76,H$21,H$22)</t>
  </si>
  <si>
    <t>=GL("Budget",$D76,J$21,J$22,,,,,,,$C$20)</t>
  </si>
  <si>
    <t>=GL("Balance",$D76,K$21,K$22)</t>
  </si>
  <si>
    <t>=-GL("Budget",$D78,J$21,J$22,,,,,,,$C$20)</t>
  </si>
  <si>
    <t>=-GL("Budget",$D79,J$21,J$22,,,,,,,$C$20)</t>
  </si>
  <si>
    <t>=-GL("Balance",$D80,G$21,G$22)</t>
  </si>
  <si>
    <t>=-GL("Balance",$D80,H$21,H$22)</t>
  </si>
  <si>
    <t>=-GL("Budget",$D80,J$21,J$22,,,,,,,$C$20)</t>
  </si>
  <si>
    <t>=-GL("Balance",$D80,K$21,K$22)</t>
  </si>
  <si>
    <t>=GL("Balance",$D84,,G$21-1)</t>
  </si>
  <si>
    <t>=GL("Balance",$D84,,H$21-1)</t>
  </si>
  <si>
    <t>=GL("Balance",$D84,,J$21-1)</t>
  </si>
  <si>
    <t>=GL("Balance",$D84,,K$21-1)</t>
  </si>
  <si>
    <t>Net Change</t>
  </si>
  <si>
    <t>% Change</t>
  </si>
  <si>
    <t>=M52</t>
  </si>
  <si>
    <t>=GL("Balance",$D52,,N$50)</t>
  </si>
  <si>
    <t>=GL("Balance",$D52,,O$50)</t>
  </si>
  <si>
    <t>=N52-O52</t>
  </si>
  <si>
    <t>=P52/O52</t>
  </si>
  <si>
    <t>=GL("Balance",$D54,,N$50)</t>
  </si>
  <si>
    <t>=GL("Balance",$D54,,O$50)</t>
  </si>
  <si>
    <t>=N54-O54</t>
  </si>
  <si>
    <t>=P54/O54</t>
  </si>
  <si>
    <t>=IF(ISERROR(G29/N52),0,G29/N52)</t>
  </si>
  <si>
    <t>=IF(ISERROR(H29/O52),0,H29/O52)</t>
  </si>
  <si>
    <t>=GL("Balance",$D56,,N$50)</t>
  </si>
  <si>
    <t>=GL("Balance",$D56,,O$50)</t>
  </si>
  <si>
    <t>=N56-O56</t>
  </si>
  <si>
    <t>=P56/O56</t>
  </si>
  <si>
    <t>=IF(ISERROR(G42/N52),0,G42/N52)</t>
  </si>
  <si>
    <t>=IF(ISERROR(H42/O52),0,H42/O52)</t>
  </si>
  <si>
    <t>=G25+G27</t>
  </si>
  <si>
    <t>=H25+H27</t>
  </si>
  <si>
    <t>=I25+I27</t>
  </si>
  <si>
    <t>=J25+J27</t>
  </si>
  <si>
    <t>=K25+K27</t>
  </si>
  <si>
    <t>=G26+G28</t>
  </si>
  <si>
    <t>=H26+H28</t>
  </si>
  <si>
    <t>=I26+I28</t>
  </si>
  <si>
    <t>=J26+J28</t>
  </si>
  <si>
    <t>=K26+K28</t>
  </si>
  <si>
    <t>=N25+G30</t>
  </si>
  <si>
    <t>=O25+H30</t>
  </si>
  <si>
    <t>=P25+I30</t>
  </si>
  <si>
    <t>=Q25+J30</t>
  </si>
  <si>
    <t>=R25+K30</t>
  </si>
  <si>
    <t>=N26+G31</t>
  </si>
  <si>
    <t>=O26+H31</t>
  </si>
  <si>
    <t>=P26+I31</t>
  </si>
  <si>
    <t>=Q26+J31</t>
  </si>
  <si>
    <t>=R26+K31</t>
  </si>
  <si>
    <t>=SUM(N30:N31)</t>
  </si>
  <si>
    <t>=SUM(O30:O31)</t>
  </si>
  <si>
    <t>=SUM(P30:P31)</t>
  </si>
  <si>
    <t>=SUM(Q30:Q31)</t>
  </si>
  <si>
    <t>=SUM(R30:R31)</t>
  </si>
  <si>
    <t>Sales / Total Assets (ratio)</t>
  </si>
  <si>
    <t>The list of accounts in column "D" need to match the chart of accounts for the company for this report to operate correctly</t>
  </si>
  <si>
    <t>The account numbers in the DashBoard worksheet must be revised to match the chart of accounts for the database before this report will work on a customized database.</t>
  </si>
  <si>
    <t>=-GL("Balance",$D30,G$21,G$22)</t>
  </si>
  <si>
    <t>=-GL("Balance",$D30,K$21,K$22)</t>
  </si>
  <si>
    <t>The business unit fields in P &amp; L Net Sales and Gross Profit are hard-coded and may need to be changed to reflect your company</t>
  </si>
  <si>
    <t xml:space="preserve">Report Readme </t>
  </si>
  <si>
    <t>Tooltip</t>
  </si>
  <si>
    <t>Enter a date using the date format used in your NAV instance</t>
  </si>
  <si>
    <t>Getting Help</t>
  </si>
  <si>
    <t>Modifying this report</t>
  </si>
  <si>
    <t>This report can be modified by entering into design mode from the Jet tab.</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</si>
  <si>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</si>
  <si>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</si>
  <si>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</si>
  <si>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</si>
  <si>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</si>
  <si>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</si>
  <si>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</si>
  <si>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</si>
  <si>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</si>
  <si>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</si>
  <si>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</si>
  <si>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</si>
  <si>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This report provides an executive dashboard view of the financial health of a company including P&amp;L, KPI's, Balance Sheet, Cash Flow and changes to Current Assets and Liabilities for the current and previous year. Date calculations are based on a calendar year.
Dates used in filtering must be formatted to the same format used in NAV.</t>
  </si>
  <si>
    <t>�</t>
  </si>
  <si>
    <t>="6/12/2019"</t>
  </si>
  <si>
    <t>="2019"</t>
  </si>
  <si>
    <t>=Options!$D$5</t>
  </si>
  <si>
    <t>=NP("Datefilter", C5,C3)</t>
  </si>
  <si>
    <t>=NP("Datefilter",DATE((YEAR(C3)-1),1,1),DATE((YEAR(C3)-1),MONTH(C3),DAY(C3)))</t>
  </si>
  <si>
    <t>=Options!$D$6</t>
  </si>
  <si>
    <t>My Company Name</t>
  </si>
  <si>
    <t>Auto+Hide+hidesheet+values+Formulas=Sheet8,Sheet9+FormulasOnly</t>
  </si>
  <si>
    <t>Auto+Hide+Values+Formulas=Sheet10,Sheet11+FormulasOnly</t>
  </si>
  <si>
    <t>Auto+Hide+hidesheet+values+Formulas=Sheet12,Sheet8,Sheet9</t>
  </si>
  <si>
    <t>Auto+Hide+hidesheet+values+Formulas=Sheet12,Sheet8,Sheet9+FormulasOnly</t>
  </si>
  <si>
    <t>Auto+Hide+Values+Formulas=Sheet13,Sheet10,Sheet11</t>
  </si>
  <si>
    <t>Auto+Hide+Values+Formulas=Sheet13,Sheet10,Sheet11+FormulasOnly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</si>
</sst>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164" formatCode="_-* #,##0.00_-;\-* #,##0.00_-;_-* &quot;-&quot;??_-;_-@_-"/>
    <numFmt numFmtId="165" formatCode="0.0%"/>
    <numFmt numFmtId="166" formatCode="mmm\ dd\,\ yy"/>
    <numFmt numFmtId="167" formatCode="0.0"/>
    <numFmt numFmtId="168" formatCode="_(* #,##0_);[Red]_(* \(#,##0\);_(* &quot;-&quot;_);_(@_)"/>
    <numFmt numFmtId="169" formatCode="_-* #,##0_-;\-* #,##0_-;_-* &quot;-&quot;??_-;_-@_-"/>
  </numFmts>
  <fonts count="19" x14ac:knownFonts="1">
    <font>
      <sz val="10"/>
      <name val="Arial"/>
    </font>
    <font>
      <sz val="11"/>
      <color theme="1"/>
      <name val="Calibri Light"/>
      <family val="2"/>
      <scheme val="minor"/>
    </font>
    <font>
      <sz val="11"/>
      <color theme="1"/>
      <name val="Calibri Light"/>
      <family val="2"/>
      <scheme val="minor"/>
    </font>
    <font>
      <sz val="10"/>
      <name val="Arial"/>
      <family val="2"/>
    </font>
    <font>
      <b/>
      <sz val="11"/>
      <color theme="0"/>
      <name val="Calibri Light"/>
      <family val="2"/>
      <scheme val="minor"/>
    </font>
    <font>
      <sz val="11"/>
      <name val="Calibri Light"/>
      <family val="2"/>
      <scheme val="minor"/>
    </font>
    <font>
      <b/>
      <sz val="11"/>
      <name val="Calibri Light"/>
      <family val="2"/>
      <scheme val="minor"/>
    </font>
    <font>
      <b/>
      <u/>
      <sz val="11"/>
      <name val="Calibri Light"/>
      <family val="2"/>
      <scheme val="minor"/>
    </font>
    <font>
      <b/>
      <sz val="16"/>
      <name val="Calibri"/>
      <family val="2"/>
    </font>
    <font>
      <b/>
      <i/>
      <sz val="16"/>
      <name val="Calibri"/>
      <family val="2"/>
    </font>
    <font>
      <sz val="16"/>
      <name val="Calibri"/>
      <family val="2"/>
    </font>
    <font>
      <sz val="10"/>
      <name val="Segoe UI"/>
      <family val="2"/>
    </font>
    <font>
      <b/>
      <sz val="10"/>
      <name val="Segoe UI"/>
      <family val="2"/>
    </font>
    <font>
      <u/>
      <sz val="10"/>
      <color indexed="12"/>
      <name val="Arial"/>
      <family val="2"/>
    </font>
    <font>
      <u/>
      <sz val="10"/>
      <color indexed="12"/>
      <name val="Segoe UI"/>
      <family val="2"/>
    </font>
    <font>
      <b/>
      <sz val="12"/>
      <name val="Calibri Light"/>
      <family val="2"/>
      <scheme val="minor"/>
    </font>
    <font>
      <sz val="10"/>
      <color theme="1"/>
      <name val="Segoe UI"/>
      <family val="2"/>
    </font>
    <font>
      <b/>
      <sz val="20"/>
      <color rgb="FFDA4848"/>
      <name val="Segoe UI"/>
      <family val="2"/>
    </font>
    <font>
      <b/>
      <sz val="10"/>
      <color theme="1"/>
      <name val="Segoe UI"/>
      <family val="2"/>
    </font>
  </fonts>
  <fills count="1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499984740745262"/>
        <bgColor indexed="64"/>
      </patternFill>
    </fill>
    <fill>
      <patternFill patternType="solid">
        <fgColor rgb="FFEDA5A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right/>
      <top style="medium">
        <color indexed="64"/>
      </top>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double">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13" fillId="0" borderId="0" applyNumberFormat="0" applyFill="0" applyBorder="0" applyAlignment="0" applyProtection="0">
      <alignment vertical="top"/>
      <protection locked="0"/>
    </xf>
    <xf numFmtId="0" fontId="2" fillId="0" borderId="0"/>
    <xf numFmtId="0" fontId="13" fillId="0" borderId="0" applyNumberFormat="0" applyFill="0" applyBorder="0" applyAlignment="0" applyProtection="0">
      <alignment vertical="top"/>
      <protection locked="0"/>
    </xf>
    <xf numFmtId="0" fontId="1" fillId="0" borderId="0"/>
  </cellStyleXfs>
  <cellXfs count="139">
    <xf numFmtId="0" fontId="0" fillId="0" borderId="0" xfId="0"/>
    <xf numFmtId="0" fontId="0" fillId="0" borderId="0" xfId="0" quotePrefix="1"/>
    <xf numFmtId="0" fontId="5" fillId="3" borderId="0" xfId="0" applyFont="1" applyFill="1"/>
    <xf numFmtId="0" fontId="5" fillId="3" borderId="0" xfId="0" applyFont="1" applyFill="1" applyBorder="1"/>
    <xf numFmtId="0" fontId="6" fillId="4" borderId="8" xfId="0" applyFont="1" applyFill="1" applyBorder="1"/>
    <xf numFmtId="14" fontId="6" fillId="4" borderId="1" xfId="0" applyNumberFormat="1" applyFont="1" applyFill="1" applyBorder="1" applyAlignment="1">
      <alignment horizontal="center" wrapText="1"/>
    </xf>
    <xf numFmtId="14" fontId="6" fillId="4" borderId="2" xfId="0" applyNumberFormat="1" applyFont="1" applyFill="1" applyBorder="1" applyAlignment="1">
      <alignment horizontal="center" wrapText="1"/>
    </xf>
    <xf numFmtId="0" fontId="6" fillId="3" borderId="0" xfId="0" applyFont="1" applyFill="1" applyAlignment="1">
      <alignment wrapText="1"/>
    </xf>
    <xf numFmtId="0" fontId="5" fillId="3" borderId="5" xfId="0" applyFont="1" applyFill="1" applyBorder="1" applyAlignment="1">
      <alignment wrapText="1"/>
    </xf>
    <xf numFmtId="14" fontId="6" fillId="3" borderId="3" xfId="0" applyNumberFormat="1" applyFont="1" applyFill="1" applyBorder="1" applyAlignment="1">
      <alignment horizontal="center" wrapText="1"/>
    </xf>
    <xf numFmtId="14" fontId="6" fillId="3" borderId="9" xfId="0" applyNumberFormat="1" applyFont="1" applyFill="1" applyBorder="1" applyAlignment="1">
      <alignment horizontal="center" wrapText="1"/>
    </xf>
    <xf numFmtId="168" fontId="5" fillId="3" borderId="19" xfId="1" applyNumberFormat="1" applyFont="1" applyFill="1" applyBorder="1" applyAlignment="1">
      <alignment wrapText="1"/>
    </xf>
    <xf numFmtId="168" fontId="5" fillId="3" borderId="20" xfId="1" applyNumberFormat="1" applyFont="1" applyFill="1" applyBorder="1" applyAlignment="1">
      <alignment wrapText="1"/>
    </xf>
    <xf numFmtId="0" fontId="5" fillId="3" borderId="5" xfId="0" applyFont="1" applyFill="1" applyBorder="1"/>
    <xf numFmtId="168" fontId="5" fillId="3" borderId="3" xfId="1" applyNumberFormat="1" applyFont="1" applyFill="1" applyBorder="1" applyAlignment="1">
      <alignment wrapText="1"/>
    </xf>
    <xf numFmtId="168" fontId="5" fillId="3" borderId="9" xfId="1" applyNumberFormat="1" applyFont="1" applyFill="1" applyBorder="1" applyAlignment="1">
      <alignment wrapText="1"/>
    </xf>
    <xf numFmtId="168" fontId="5" fillId="3" borderId="3" xfId="0" applyNumberFormat="1" applyFont="1" applyFill="1" applyBorder="1"/>
    <xf numFmtId="168" fontId="5" fillId="3" borderId="9" xfId="0" applyNumberFormat="1" applyFont="1" applyFill="1" applyBorder="1"/>
    <xf numFmtId="0" fontId="5" fillId="3" borderId="0" xfId="0" applyFont="1" applyFill="1" applyAlignment="1">
      <alignment wrapText="1"/>
    </xf>
    <xf numFmtId="0" fontId="5" fillId="3" borderId="11" xfId="0" applyFont="1" applyFill="1" applyBorder="1"/>
    <xf numFmtId="41" fontId="5" fillId="3" borderId="0" xfId="0" applyNumberFormat="1" applyFont="1" applyFill="1" applyBorder="1"/>
    <xf numFmtId="0" fontId="6" fillId="2" borderId="4" xfId="0" applyFont="1" applyFill="1" applyBorder="1"/>
    <xf numFmtId="168" fontId="6" fillId="2" borderId="21" xfId="1" applyNumberFormat="1" applyFont="1" applyFill="1" applyBorder="1" applyAlignment="1"/>
    <xf numFmtId="168" fontId="5" fillId="3" borderId="22" xfId="1" applyNumberFormat="1" applyFont="1" applyFill="1" applyBorder="1" applyAlignment="1">
      <alignment wrapText="1"/>
    </xf>
    <xf numFmtId="168" fontId="5" fillId="3" borderId="23" xfId="1" applyNumberFormat="1" applyFont="1" applyFill="1" applyBorder="1" applyAlignment="1">
      <alignment wrapText="1"/>
    </xf>
    <xf numFmtId="0" fontId="6" fillId="2" borderId="14" xfId="0" applyFont="1" applyFill="1" applyBorder="1"/>
    <xf numFmtId="168" fontId="6" fillId="2" borderId="17" xfId="0" applyNumberFormat="1" applyFont="1" applyFill="1" applyBorder="1"/>
    <xf numFmtId="168" fontId="6" fillId="2" borderId="18" xfId="0" applyNumberFormat="1" applyFont="1" applyFill="1" applyBorder="1"/>
    <xf numFmtId="14" fontId="6" fillId="4" borderId="6" xfId="0" applyNumberFormat="1" applyFont="1" applyFill="1" applyBorder="1" applyAlignment="1">
      <alignment horizontal="center" wrapText="1"/>
    </xf>
    <xf numFmtId="14" fontId="6" fillId="4" borderId="7" xfId="0" applyNumberFormat="1" applyFont="1" applyFill="1" applyBorder="1" applyAlignment="1">
      <alignment horizontal="center" wrapText="1"/>
    </xf>
    <xf numFmtId="14" fontId="6" fillId="4" borderId="6" xfId="0" quotePrefix="1" applyNumberFormat="1" applyFont="1" applyFill="1" applyBorder="1" applyAlignment="1">
      <alignment horizontal="center" wrapText="1"/>
    </xf>
    <xf numFmtId="14" fontId="6" fillId="4" borderId="7" xfId="0" quotePrefix="1" applyNumberFormat="1" applyFont="1" applyFill="1" applyBorder="1" applyAlignment="1">
      <alignment horizontal="center" wrapText="1"/>
    </xf>
    <xf numFmtId="0" fontId="6" fillId="3" borderId="5" xfId="0" applyFont="1" applyFill="1" applyBorder="1"/>
    <xf numFmtId="14" fontId="5" fillId="3" borderId="3" xfId="0" applyNumberFormat="1" applyFont="1" applyFill="1" applyBorder="1" applyAlignment="1">
      <alignment horizontal="center" wrapText="1"/>
    </xf>
    <xf numFmtId="14" fontId="5" fillId="3" borderId="9" xfId="0" applyNumberFormat="1" applyFont="1" applyFill="1" applyBorder="1" applyAlignment="1">
      <alignment horizontal="center" wrapText="1"/>
    </xf>
    <xf numFmtId="165" fontId="5" fillId="3" borderId="3" xfId="2" applyNumberFormat="1" applyFont="1" applyFill="1" applyBorder="1"/>
    <xf numFmtId="165" fontId="5" fillId="3" borderId="9" xfId="2" applyNumberFormat="1" applyFont="1" applyFill="1" applyBorder="1"/>
    <xf numFmtId="0" fontId="5" fillId="3" borderId="10" xfId="0" applyFont="1" applyFill="1" applyBorder="1"/>
    <xf numFmtId="0" fontId="5" fillId="3" borderId="3" xfId="0" applyFont="1" applyFill="1" applyBorder="1"/>
    <xf numFmtId="0" fontId="5" fillId="3" borderId="9" xfId="0" applyFont="1" applyFill="1" applyBorder="1"/>
    <xf numFmtId="167" fontId="5" fillId="3" borderId="3" xfId="0" applyNumberFormat="1" applyFont="1" applyFill="1" applyBorder="1"/>
    <xf numFmtId="167" fontId="5" fillId="3" borderId="9" xfId="0" applyNumberFormat="1" applyFont="1" applyFill="1" applyBorder="1"/>
    <xf numFmtId="165" fontId="5" fillId="3" borderId="3" xfId="0" applyNumberFormat="1" applyFont="1" applyFill="1" applyBorder="1"/>
    <xf numFmtId="165" fontId="5" fillId="3" borderId="9" xfId="0" applyNumberFormat="1" applyFont="1" applyFill="1" applyBorder="1"/>
    <xf numFmtId="165" fontId="5" fillId="3" borderId="12" xfId="0" applyNumberFormat="1" applyFont="1" applyFill="1" applyBorder="1"/>
    <xf numFmtId="165" fontId="5" fillId="3" borderId="13" xfId="0" applyNumberFormat="1" applyFont="1" applyFill="1" applyBorder="1"/>
    <xf numFmtId="168" fontId="5" fillId="3" borderId="12" xfId="0" applyNumberFormat="1" applyFont="1" applyFill="1" applyBorder="1"/>
    <xf numFmtId="0" fontId="5" fillId="3" borderId="15" xfId="0" applyFont="1" applyFill="1" applyBorder="1"/>
    <xf numFmtId="165" fontId="5" fillId="3" borderId="15" xfId="0" applyNumberFormat="1" applyFont="1" applyFill="1" applyBorder="1"/>
    <xf numFmtId="38" fontId="5" fillId="3" borderId="0" xfId="0" applyNumberFormat="1" applyFont="1" applyFill="1" applyBorder="1"/>
    <xf numFmtId="14" fontId="6" fillId="4" borderId="1" xfId="0" quotePrefix="1" applyNumberFormat="1" applyFont="1" applyFill="1" applyBorder="1" applyAlignment="1">
      <alignment horizontal="center" wrapText="1"/>
    </xf>
    <xf numFmtId="166" fontId="6" fillId="4" borderId="1" xfId="0" quotePrefix="1" applyNumberFormat="1" applyFont="1" applyFill="1" applyBorder="1" applyAlignment="1">
      <alignment horizontal="center" wrapText="1"/>
    </xf>
    <xf numFmtId="166" fontId="6" fillId="4" borderId="1" xfId="0" applyNumberFormat="1" applyFont="1" applyFill="1" applyBorder="1" applyAlignment="1">
      <alignment horizontal="center" wrapText="1"/>
    </xf>
    <xf numFmtId="166" fontId="6" fillId="4" borderId="2" xfId="0" applyNumberFormat="1" applyFont="1" applyFill="1" applyBorder="1" applyAlignment="1">
      <alignment horizontal="center" wrapText="1"/>
    </xf>
    <xf numFmtId="0" fontId="5" fillId="4" borderId="8" xfId="0" applyFont="1" applyFill="1" applyBorder="1" applyAlignment="1">
      <alignment wrapText="1"/>
    </xf>
    <xf numFmtId="168" fontId="5" fillId="3" borderId="3" xfId="0" applyNumberFormat="1" applyFont="1" applyFill="1" applyBorder="1" applyAlignment="1">
      <alignment horizontal="right" wrapText="1"/>
    </xf>
    <xf numFmtId="168" fontId="5" fillId="3" borderId="9" xfId="0" applyNumberFormat="1" applyFont="1" applyFill="1" applyBorder="1" applyAlignment="1">
      <alignment horizontal="right" wrapText="1"/>
    </xf>
    <xf numFmtId="0" fontId="7" fillId="3" borderId="10" xfId="0" applyFont="1" applyFill="1" applyBorder="1" applyAlignment="1"/>
    <xf numFmtId="0" fontId="6" fillId="3" borderId="11" xfId="0" applyFont="1" applyFill="1" applyBorder="1"/>
    <xf numFmtId="0" fontId="10" fillId="3" borderId="0" xfId="0" applyFont="1" applyFill="1" applyBorder="1"/>
    <xf numFmtId="0" fontId="11" fillId="0" borderId="0" xfId="0" applyFont="1"/>
    <xf numFmtId="0" fontId="12" fillId="5" borderId="0" xfId="0" applyFont="1" applyFill="1"/>
    <xf numFmtId="0" fontId="12" fillId="0" borderId="0" xfId="0" applyFont="1"/>
    <xf numFmtId="0" fontId="5" fillId="3" borderId="29" xfId="0" applyFont="1" applyFill="1" applyBorder="1"/>
    <xf numFmtId="14" fontId="6" fillId="4" borderId="19" xfId="0" applyNumberFormat="1" applyFont="1" applyFill="1" applyBorder="1" applyAlignment="1">
      <alignment horizontal="center" wrapText="1"/>
    </xf>
    <xf numFmtId="168" fontId="5" fillId="3" borderId="0" xfId="1" applyNumberFormat="1" applyFont="1" applyFill="1" applyBorder="1" applyAlignment="1">
      <alignment wrapText="1"/>
    </xf>
    <xf numFmtId="0" fontId="5" fillId="3" borderId="30" xfId="0" applyFont="1" applyFill="1" applyBorder="1"/>
    <xf numFmtId="168" fontId="6" fillId="2" borderId="22" xfId="1" applyNumberFormat="1" applyFont="1" applyFill="1" applyBorder="1" applyAlignment="1"/>
    <xf numFmtId="168" fontId="6" fillId="2" borderId="23" xfId="1" applyNumberFormat="1" applyFont="1" applyFill="1" applyBorder="1" applyAlignment="1"/>
    <xf numFmtId="14" fontId="5" fillId="3" borderId="0" xfId="0" applyNumberFormat="1" applyFont="1" applyFill="1" applyAlignment="1">
      <alignment horizontal="right"/>
    </xf>
    <xf numFmtId="14" fontId="5" fillId="3" borderId="19" xfId="0" applyNumberFormat="1" applyFont="1" applyFill="1" applyBorder="1" applyAlignment="1">
      <alignment horizontal="right"/>
    </xf>
    <xf numFmtId="14" fontId="5" fillId="3" borderId="6" xfId="0" applyNumberFormat="1" applyFont="1" applyFill="1" applyBorder="1" applyAlignment="1">
      <alignment horizontal="right"/>
    </xf>
    <xf numFmtId="14" fontId="5" fillId="3" borderId="10" xfId="0" applyNumberFormat="1" applyFont="1" applyFill="1" applyBorder="1" applyAlignment="1">
      <alignment horizontal="right"/>
    </xf>
    <xf numFmtId="14" fontId="5" fillId="3" borderId="20" xfId="0" applyNumberFormat="1" applyFont="1" applyFill="1" applyBorder="1" applyAlignment="1">
      <alignment horizontal="right"/>
    </xf>
    <xf numFmtId="14" fontId="5" fillId="3" borderId="7" xfId="0" applyNumberFormat="1" applyFont="1" applyFill="1" applyBorder="1" applyAlignment="1">
      <alignment horizontal="right"/>
    </xf>
    <xf numFmtId="14" fontId="5" fillId="3" borderId="10" xfId="0" applyNumberFormat="1" applyFont="1" applyFill="1" applyBorder="1"/>
    <xf numFmtId="14" fontId="5" fillId="3" borderId="3" xfId="0" applyNumberFormat="1" applyFont="1" applyFill="1" applyBorder="1" applyAlignment="1">
      <alignment horizontal="right"/>
    </xf>
    <xf numFmtId="14" fontId="5" fillId="3" borderId="9" xfId="0" applyNumberFormat="1" applyFont="1" applyFill="1" applyBorder="1" applyAlignment="1">
      <alignment horizontal="right"/>
    </xf>
    <xf numFmtId="0" fontId="5" fillId="6" borderId="0" xfId="0" applyFont="1" applyFill="1"/>
    <xf numFmtId="14" fontId="5" fillId="6" borderId="0" xfId="0" applyNumberFormat="1" applyFont="1" applyFill="1"/>
    <xf numFmtId="0" fontId="5" fillId="6" borderId="0" xfId="0" applyFont="1" applyFill="1" applyBorder="1"/>
    <xf numFmtId="169" fontId="5" fillId="6" borderId="0" xfId="1" applyNumberFormat="1" applyFont="1" applyFill="1"/>
    <xf numFmtId="165" fontId="5" fillId="6" borderId="0" xfId="2" applyNumberFormat="1" applyFont="1" applyFill="1" applyBorder="1"/>
    <xf numFmtId="0" fontId="6" fillId="6" borderId="0" xfId="0" applyFont="1" applyFill="1" applyBorder="1"/>
    <xf numFmtId="0" fontId="5" fillId="6" borderId="0" xfId="0" applyFont="1" applyFill="1" applyBorder="1" applyAlignment="1">
      <alignment horizontal="right"/>
    </xf>
    <xf numFmtId="0" fontId="5" fillId="6" borderId="0" xfId="0" applyNumberFormat="1" applyFont="1" applyFill="1" applyBorder="1"/>
    <xf numFmtId="0" fontId="5" fillId="6" borderId="0" xfId="0" applyNumberFormat="1" applyFont="1" applyFill="1"/>
    <xf numFmtId="9" fontId="5" fillId="3" borderId="9" xfId="2" applyFont="1" applyFill="1" applyBorder="1"/>
    <xf numFmtId="9" fontId="5" fillId="3" borderId="13" xfId="2" applyFont="1" applyFill="1" applyBorder="1"/>
    <xf numFmtId="0" fontId="5" fillId="0" borderId="0" xfId="0" applyFont="1" applyFill="1"/>
    <xf numFmtId="0" fontId="5" fillId="0" borderId="0" xfId="0" applyFont="1" applyFill="1" applyBorder="1"/>
    <xf numFmtId="0" fontId="15" fillId="0" borderId="0" xfId="0" applyFont="1" applyFill="1"/>
    <xf numFmtId="41" fontId="5" fillId="0" borderId="0" xfId="0" applyNumberFormat="1" applyFont="1" applyFill="1" applyBorder="1"/>
    <xf numFmtId="0" fontId="6" fillId="7" borderId="4" xfId="0" applyFont="1" applyFill="1" applyBorder="1"/>
    <xf numFmtId="0" fontId="6" fillId="7" borderId="14" xfId="0" applyFont="1" applyFill="1" applyBorder="1"/>
    <xf numFmtId="168" fontId="6" fillId="7" borderId="17" xfId="0" applyNumberFormat="1" applyFont="1" applyFill="1" applyBorder="1" applyAlignment="1"/>
    <xf numFmtId="168" fontId="6" fillId="7" borderId="17" xfId="1" applyNumberFormat="1" applyFont="1" applyFill="1" applyBorder="1" applyAlignment="1"/>
    <xf numFmtId="168" fontId="6" fillId="7" borderId="18" xfId="0" applyNumberFormat="1" applyFont="1" applyFill="1" applyBorder="1" applyAlignment="1"/>
    <xf numFmtId="168" fontId="6" fillId="7" borderId="21" xfId="0" applyNumberFormat="1" applyFont="1" applyFill="1" applyBorder="1" applyAlignment="1"/>
    <xf numFmtId="168" fontId="6" fillId="7" borderId="21" xfId="1" applyNumberFormat="1" applyFont="1" applyFill="1" applyBorder="1" applyAlignment="1"/>
    <xf numFmtId="168" fontId="6" fillId="7" borderId="16" xfId="0" applyNumberFormat="1" applyFont="1" applyFill="1" applyBorder="1" applyAlignment="1"/>
    <xf numFmtId="168" fontId="6" fillId="7" borderId="16" xfId="1" applyNumberFormat="1" applyFont="1" applyFill="1" applyBorder="1" applyAlignment="1"/>
    <xf numFmtId="168" fontId="6" fillId="7" borderId="21" xfId="1" applyNumberFormat="1" applyFont="1" applyFill="1" applyBorder="1" applyAlignment="1">
      <alignment wrapText="1"/>
    </xf>
    <xf numFmtId="168" fontId="6" fillId="7" borderId="24" xfId="0" applyNumberFormat="1" applyFont="1" applyFill="1" applyBorder="1" applyAlignment="1">
      <alignment horizontal="right"/>
    </xf>
    <xf numFmtId="168" fontId="6" fillId="7" borderId="25" xfId="0" applyNumberFormat="1" applyFont="1" applyFill="1" applyBorder="1" applyAlignment="1">
      <alignment horizontal="right"/>
    </xf>
    <xf numFmtId="168" fontId="6" fillId="7" borderId="21" xfId="0" applyNumberFormat="1" applyFont="1" applyFill="1" applyBorder="1"/>
    <xf numFmtId="168" fontId="6" fillId="7" borderId="16" xfId="0" applyNumberFormat="1" applyFont="1" applyFill="1" applyBorder="1"/>
    <xf numFmtId="14" fontId="6" fillId="3" borderId="19" xfId="0" applyNumberFormat="1" applyFont="1" applyFill="1" applyBorder="1" applyAlignment="1">
      <alignment horizontal="center" wrapText="1"/>
    </xf>
    <xf numFmtId="0" fontId="6" fillId="3" borderId="4" xfId="0" applyFont="1" applyFill="1" applyBorder="1"/>
    <xf numFmtId="14" fontId="6" fillId="3" borderId="20" xfId="0" applyNumberFormat="1" applyFont="1" applyFill="1" applyBorder="1" applyAlignment="1">
      <alignment horizontal="center" wrapText="1"/>
    </xf>
    <xf numFmtId="0" fontId="6" fillId="3" borderId="14" xfId="0" applyFont="1" applyFill="1" applyBorder="1"/>
    <xf numFmtId="0" fontId="6" fillId="3" borderId="37" xfId="0" applyFont="1" applyFill="1" applyBorder="1"/>
    <xf numFmtId="14" fontId="6" fillId="3" borderId="38" xfId="0" applyNumberFormat="1" applyFont="1" applyFill="1" applyBorder="1" applyAlignment="1">
      <alignment horizontal="center" wrapText="1"/>
    </xf>
    <xf numFmtId="14" fontId="6" fillId="3" borderId="39" xfId="0" applyNumberFormat="1" applyFont="1" applyFill="1" applyBorder="1" applyAlignment="1">
      <alignment horizontal="center" wrapText="1"/>
    </xf>
    <xf numFmtId="168" fontId="6" fillId="3" borderId="17" xfId="0" applyNumberFormat="1" applyFont="1" applyFill="1" applyBorder="1"/>
    <xf numFmtId="168" fontId="6" fillId="3" borderId="18" xfId="0" applyNumberFormat="1" applyFont="1" applyFill="1" applyBorder="1"/>
    <xf numFmtId="14" fontId="5" fillId="4" borderId="10" xfId="0" applyNumberFormat="1" applyFont="1" applyFill="1" applyBorder="1"/>
    <xf numFmtId="14" fontId="5" fillId="4" borderId="19" xfId="0" applyNumberFormat="1" applyFont="1" applyFill="1" applyBorder="1" applyAlignment="1">
      <alignment horizontal="right"/>
    </xf>
    <xf numFmtId="14" fontId="5" fillId="4" borderId="20" xfId="0" applyNumberFormat="1" applyFont="1" applyFill="1" applyBorder="1" applyAlignment="1">
      <alignment horizontal="right"/>
    </xf>
    <xf numFmtId="0" fontId="6" fillId="0" borderId="0" xfId="0" applyFont="1" applyFill="1"/>
    <xf numFmtId="0" fontId="8" fillId="3" borderId="0" xfId="0" applyFont="1" applyFill="1" applyBorder="1" applyAlignment="1">
      <alignment horizontal="center"/>
    </xf>
    <xf numFmtId="0" fontId="9" fillId="3" borderId="0" xfId="0" applyFont="1" applyFill="1" applyBorder="1" applyAlignment="1">
      <alignment horizontal="center"/>
    </xf>
    <xf numFmtId="0" fontId="4" fillId="8" borderId="26" xfId="0" applyFont="1" applyFill="1" applyBorder="1" applyAlignment="1">
      <alignment horizontal="center"/>
    </xf>
    <xf numFmtId="0" fontId="4" fillId="8" borderId="27" xfId="0" applyFont="1" applyFill="1" applyBorder="1" applyAlignment="1">
      <alignment horizontal="center"/>
    </xf>
    <xf numFmtId="0" fontId="4" fillId="8" borderId="28" xfId="0" applyFont="1" applyFill="1" applyBorder="1" applyAlignment="1">
      <alignment horizontal="center"/>
    </xf>
    <xf numFmtId="168" fontId="5" fillId="3" borderId="31" xfId="0" applyNumberFormat="1" applyFont="1" applyFill="1" applyBorder="1" applyAlignment="1">
      <alignment horizontal="center"/>
    </xf>
    <xf numFmtId="168" fontId="5" fillId="3" borderId="32" xfId="0" applyNumberFormat="1" applyFont="1" applyFill="1" applyBorder="1" applyAlignment="1">
      <alignment horizontal="center"/>
    </xf>
    <xf numFmtId="14" fontId="6" fillId="4" borderId="35" xfId="0" quotePrefix="1" applyNumberFormat="1" applyFont="1" applyFill="1" applyBorder="1" applyAlignment="1">
      <alignment horizontal="center" wrapText="1"/>
    </xf>
    <xf numFmtId="14" fontId="6" fillId="4" borderId="36" xfId="0" quotePrefix="1" applyNumberFormat="1" applyFont="1" applyFill="1" applyBorder="1" applyAlignment="1">
      <alignment horizontal="center" wrapText="1"/>
    </xf>
    <xf numFmtId="168" fontId="5" fillId="3" borderId="33" xfId="0" applyNumberFormat="1" applyFont="1" applyFill="1" applyBorder="1" applyAlignment="1">
      <alignment horizontal="center"/>
    </xf>
    <xf numFmtId="168" fontId="5" fillId="3" borderId="34" xfId="0" applyNumberFormat="1" applyFont="1" applyFill="1" applyBorder="1" applyAlignment="1">
      <alignment horizontal="center"/>
    </xf>
    <xf numFmtId="0" fontId="16" fillId="0" borderId="0" xfId="7" applyFont="1"/>
    <xf numFmtId="0" fontId="16" fillId="0" borderId="0" xfId="7" applyFont="1" applyAlignment="1">
      <alignment vertical="top"/>
    </xf>
    <xf numFmtId="0" fontId="16" fillId="0" borderId="0" xfId="7" applyFont="1" applyAlignment="1">
      <alignment vertical="top" wrapText="1"/>
    </xf>
    <xf numFmtId="0" fontId="17" fillId="0" borderId="0" xfId="7" applyFont="1" applyAlignment="1">
      <alignment vertical="top"/>
    </xf>
    <xf numFmtId="0" fontId="18" fillId="0" borderId="0" xfId="7" applyFont="1" applyAlignment="1">
      <alignment vertical="top"/>
    </xf>
    <xf numFmtId="0" fontId="14" fillId="0" borderId="0" xfId="4" applyFont="1" applyAlignment="1" applyProtection="1">
      <alignment vertical="top"/>
    </xf>
    <xf numFmtId="0" fontId="12" fillId="9" borderId="40" xfId="3" applyFont="1" applyFill="1" applyBorder="1" applyAlignment="1">
      <alignment vertical="top" wrapText="1"/>
    </xf>
    <xf numFmtId="14" fontId="5" fillId="0" borderId="0" xfId="0" applyNumberFormat="1" applyFont="1" applyFill="1"/>
  </cellXfs>
  <cellStyles count="8">
    <cellStyle name="Comma" xfId="1" builtinId="3"/>
    <cellStyle name="Hyperlink" xfId="4" builtinId="8"/>
    <cellStyle name="Hyperlink 3" xfId="6"/>
    <cellStyle name="Normal" xfId="0" builtinId="0"/>
    <cellStyle name="Normal 2" xfId="5"/>
    <cellStyle name="Normal 2 4" xfId="3"/>
    <cellStyle name="Normal 3" xfId="7"/>
    <cellStyle name="Percent" xfId="2" builtinId="5"/>
  </cellStyles>
  <dxfs count="0"/>
  <tableStyles count="0" defaultTableStyle="TableStyleMedium9" defaultPivotStyle="PivotStyleLight16"/>
  <colors>
    <mruColors>
      <color rgb="FFEDA5A5"/>
      <color rgb="FFDA48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sz="1000"/>
              <a:t>Changes in Current Assets and Liabilities in the Analysed month for the CURRENT year</a:t>
            </a:r>
          </a:p>
        </c:rich>
      </c:tx>
      <c:layout>
        <c:manualLayout>
          <c:xMode val="edge"/>
          <c:yMode val="edge"/>
          <c:x val="0.13449731337230914"/>
          <c:y val="2.895751312335958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0.22314351028702056"/>
          <c:y val="0.11444801631201058"/>
          <c:w val="0.47333487413696046"/>
          <c:h val="0.82829162057222172"/>
        </c:manualLayout>
      </c:layout>
      <c:barChart>
        <c:barDir val="col"/>
        <c:grouping val="clustered"/>
        <c:varyColors val="0"/>
        <c:ser>
          <c:idx val="0"/>
          <c:order val="0"/>
          <c:tx>
            <c:strRef>
              <c:f>DashBoard!$F$65</c:f>
              <c:strCache>
                <c:ptCount val="1"/>
                <c:pt idx="0">
                  <c:v>Accum. Depreciation, Vehicles</c:v>
                </c:pt>
              </c:strCache>
            </c:strRef>
          </c:tx>
          <c:spPr>
            <a:solidFill>
              <a:schemeClr val="accent1"/>
            </a:solidFill>
            <a:ln>
              <a:noFill/>
            </a:ln>
            <a:effectLst/>
          </c:spPr>
          <c:invertIfNegative val="0"/>
          <c:val>
            <c:numRef>
              <c:f>DashBoard!$G$65</c:f>
              <c:numCache>
                <c:formatCode>_(* #,##0_);[Red]_(* \(#,##0\);_(* "-"_);_(@_)</c:formatCode>
                <c:ptCount val="1"/>
                <c:pt idx="0">
                  <c:v>0</c:v>
                </c:pt>
              </c:numCache>
            </c:numRef>
          </c:val>
          <c:extLst>
            <c:ext xmlns:c16="http://schemas.microsoft.com/office/drawing/2014/chart" uri="{C3380CC4-5D6E-409C-BE32-E72D297353CC}">
              <c16:uniqueId val="{00000000-6851-4442-966B-596A2CF4A68F}"/>
            </c:ext>
          </c:extLst>
        </c:ser>
        <c:ser>
          <c:idx val="1"/>
          <c:order val="1"/>
          <c:tx>
            <c:strRef>
              <c:f>DashBoard!$F$66</c:f>
              <c:strCache>
                <c:ptCount val="1"/>
                <c:pt idx="0">
                  <c:v>Securities, Total</c:v>
                </c:pt>
              </c:strCache>
            </c:strRef>
          </c:tx>
          <c:spPr>
            <a:solidFill>
              <a:schemeClr val="accent2"/>
            </a:solidFill>
            <a:ln>
              <a:noFill/>
            </a:ln>
            <a:effectLst/>
          </c:spPr>
          <c:invertIfNegative val="0"/>
          <c:val>
            <c:numRef>
              <c:f>DashBoard!$G$66</c:f>
              <c:numCache>
                <c:formatCode>_(* #,##0_);[Red]_(* \(#,##0\);_(* "-"_);_(@_)</c:formatCode>
                <c:ptCount val="1"/>
                <c:pt idx="0">
                  <c:v>0</c:v>
                </c:pt>
              </c:numCache>
            </c:numRef>
          </c:val>
          <c:extLst>
            <c:ext xmlns:c16="http://schemas.microsoft.com/office/drawing/2014/chart" uri="{C3380CC4-5D6E-409C-BE32-E72D297353CC}">
              <c16:uniqueId val="{00000001-6851-4442-966B-596A2CF4A68F}"/>
            </c:ext>
          </c:extLst>
        </c:ser>
        <c:ser>
          <c:idx val="2"/>
          <c:order val="2"/>
          <c:tx>
            <c:strRef>
              <c:f>DashBoard!$F$67</c:f>
              <c:strCache>
                <c:ptCount val="1"/>
                <c:pt idx="0">
                  <c:v>Accounts Receivable, Total</c:v>
                </c:pt>
              </c:strCache>
            </c:strRef>
          </c:tx>
          <c:spPr>
            <a:solidFill>
              <a:schemeClr val="accent3"/>
            </a:solidFill>
            <a:ln>
              <a:noFill/>
            </a:ln>
            <a:effectLst/>
          </c:spPr>
          <c:invertIfNegative val="0"/>
          <c:val>
            <c:numRef>
              <c:f>DashBoard!$G$67</c:f>
              <c:numCache>
                <c:formatCode>_(* #,##0_);[Red]_(* \(#,##0\);_(* "-"_);_(@_)</c:formatCode>
                <c:ptCount val="1"/>
                <c:pt idx="0">
                  <c:v>-6052126.29</c:v>
                </c:pt>
              </c:numCache>
            </c:numRef>
          </c:val>
          <c:extLst>
            <c:ext xmlns:c16="http://schemas.microsoft.com/office/drawing/2014/chart" uri="{C3380CC4-5D6E-409C-BE32-E72D297353CC}">
              <c16:uniqueId val="{00000002-6851-4442-966B-596A2CF4A68F}"/>
            </c:ext>
          </c:extLst>
        </c:ser>
        <c:ser>
          <c:idx val="3"/>
          <c:order val="3"/>
          <c:tx>
            <c:strRef>
              <c:f>DashBoard!$F$68</c:f>
              <c:strCache>
                <c:ptCount val="1"/>
                <c:pt idx="0">
                  <c:v>Inventory, Total</c:v>
                </c:pt>
              </c:strCache>
            </c:strRef>
          </c:tx>
          <c:spPr>
            <a:solidFill>
              <a:schemeClr val="accent4"/>
            </a:solidFill>
            <a:ln>
              <a:noFill/>
            </a:ln>
            <a:effectLst/>
          </c:spPr>
          <c:invertIfNegative val="0"/>
          <c:val>
            <c:numRef>
              <c:f>DashBoard!$G$68</c:f>
              <c:numCache>
                <c:formatCode>_(* #,##0_);[Red]_(* \(#,##0\);_(* "-"_);_(@_)</c:formatCode>
                <c:ptCount val="1"/>
                <c:pt idx="0">
                  <c:v>-54306.76</c:v>
                </c:pt>
              </c:numCache>
            </c:numRef>
          </c:val>
          <c:extLst>
            <c:ext xmlns:c16="http://schemas.microsoft.com/office/drawing/2014/chart" uri="{C3380CC4-5D6E-409C-BE32-E72D297353CC}">
              <c16:uniqueId val="{00000003-6851-4442-966B-596A2CF4A68F}"/>
            </c:ext>
          </c:extLst>
        </c:ser>
        <c:ser>
          <c:idx val="4"/>
          <c:order val="4"/>
          <c:tx>
            <c:strRef>
              <c:f>DashBoard!$F$69</c:f>
              <c:strCache>
                <c:ptCount val="1"/>
                <c:pt idx="0">
                  <c:v>Purchase Prepayments, Total</c:v>
                </c:pt>
              </c:strCache>
            </c:strRef>
          </c:tx>
          <c:spPr>
            <a:solidFill>
              <a:schemeClr val="accent5"/>
            </a:solidFill>
            <a:ln>
              <a:noFill/>
            </a:ln>
            <a:effectLst/>
          </c:spPr>
          <c:invertIfNegative val="0"/>
          <c:val>
            <c:numRef>
              <c:f>DashBoard!$G$69</c:f>
              <c:numCache>
                <c:formatCode>_(* #,##0_);[Red]_(* \(#,##0\);_(* "-"_);_(@_)</c:formatCode>
                <c:ptCount val="1"/>
                <c:pt idx="0">
                  <c:v>0</c:v>
                </c:pt>
              </c:numCache>
            </c:numRef>
          </c:val>
          <c:extLst>
            <c:ext xmlns:c16="http://schemas.microsoft.com/office/drawing/2014/chart" uri="{C3380CC4-5D6E-409C-BE32-E72D297353CC}">
              <c16:uniqueId val="{00000004-6851-4442-966B-596A2CF4A68F}"/>
            </c:ext>
          </c:extLst>
        </c:ser>
        <c:ser>
          <c:idx val="5"/>
          <c:order val="5"/>
          <c:tx>
            <c:strRef>
              <c:f>DashBoard!$F$70</c:f>
              <c:strCache>
                <c:ptCount val="1"/>
                <c:pt idx="0">
                  <c:v>Accounts Payable, Total</c:v>
                </c:pt>
              </c:strCache>
            </c:strRef>
          </c:tx>
          <c:spPr>
            <a:solidFill>
              <a:schemeClr val="accent6"/>
            </a:solidFill>
            <a:ln>
              <a:noFill/>
            </a:ln>
            <a:effectLst/>
          </c:spPr>
          <c:invertIfNegative val="0"/>
          <c:val>
            <c:numRef>
              <c:f>DashBoard!$G$70</c:f>
              <c:numCache>
                <c:formatCode>_(* #,##0_);[Red]_(* \(#,##0\);_(* "-"_);_(@_)</c:formatCode>
                <c:ptCount val="1"/>
                <c:pt idx="0">
                  <c:v>7481413.8200000003</c:v>
                </c:pt>
              </c:numCache>
            </c:numRef>
          </c:val>
          <c:extLst>
            <c:ext xmlns:c16="http://schemas.microsoft.com/office/drawing/2014/chart" uri="{C3380CC4-5D6E-409C-BE32-E72D297353CC}">
              <c16:uniqueId val="{00000005-6851-4442-966B-596A2CF4A68F}"/>
            </c:ext>
          </c:extLst>
        </c:ser>
        <c:ser>
          <c:idx val="6"/>
          <c:order val="6"/>
          <c:tx>
            <c:strRef>
              <c:f>DashBoard!$F$71</c:f>
              <c:strCache>
                <c:ptCount val="1"/>
                <c:pt idx="0">
                  <c:v>Revolving Credit</c:v>
                </c:pt>
              </c:strCache>
            </c:strRef>
          </c:tx>
          <c:spPr>
            <a:solidFill>
              <a:schemeClr val="accent1">
                <a:lumMod val="60000"/>
              </a:schemeClr>
            </a:solidFill>
            <a:ln>
              <a:noFill/>
            </a:ln>
            <a:effectLst/>
          </c:spPr>
          <c:invertIfNegative val="0"/>
          <c:val>
            <c:numRef>
              <c:f>DashBoard!$G$71</c:f>
              <c:numCache>
                <c:formatCode>_(* #,##0_);[Red]_(* \(#,##0\);_(* "-"_);_(@_)</c:formatCode>
                <c:ptCount val="1"/>
                <c:pt idx="0">
                  <c:v>0</c:v>
                </c:pt>
              </c:numCache>
            </c:numRef>
          </c:val>
          <c:extLst>
            <c:ext xmlns:c16="http://schemas.microsoft.com/office/drawing/2014/chart" uri="{C3380CC4-5D6E-409C-BE32-E72D297353CC}">
              <c16:uniqueId val="{00000006-6851-4442-966B-596A2CF4A68F}"/>
            </c:ext>
          </c:extLst>
        </c:ser>
        <c:ser>
          <c:idx val="7"/>
          <c:order val="7"/>
          <c:tx>
            <c:strRef>
              <c:f>DashBoard!$F$72</c:f>
              <c:strCache>
                <c:ptCount val="1"/>
                <c:pt idx="0">
                  <c:v>Total Personnel-related Items</c:v>
                </c:pt>
              </c:strCache>
            </c:strRef>
          </c:tx>
          <c:spPr>
            <a:solidFill>
              <a:schemeClr val="accent2">
                <a:lumMod val="60000"/>
              </a:schemeClr>
            </a:solidFill>
            <a:ln>
              <a:noFill/>
            </a:ln>
            <a:effectLst/>
          </c:spPr>
          <c:invertIfNegative val="0"/>
          <c:val>
            <c:numRef>
              <c:f>DashBoard!$G$72</c:f>
              <c:numCache>
                <c:formatCode>_(* #,##0_);[Red]_(* \(#,##0\);_(* "-"_);_(@_)</c:formatCode>
                <c:ptCount val="1"/>
                <c:pt idx="0">
                  <c:v>0</c:v>
                </c:pt>
              </c:numCache>
            </c:numRef>
          </c:val>
          <c:extLst>
            <c:ext xmlns:c16="http://schemas.microsoft.com/office/drawing/2014/chart" uri="{C3380CC4-5D6E-409C-BE32-E72D297353CC}">
              <c16:uniqueId val="{00000007-6851-4442-966B-596A2CF4A68F}"/>
            </c:ext>
          </c:extLst>
        </c:ser>
        <c:ser>
          <c:idx val="8"/>
          <c:order val="8"/>
          <c:tx>
            <c:strRef>
              <c:f>DashBoard!$F$73</c:f>
              <c:strCache>
                <c:ptCount val="1"/>
                <c:pt idx="0">
                  <c:v>Other Liabilities, Total</c:v>
                </c:pt>
              </c:strCache>
            </c:strRef>
          </c:tx>
          <c:spPr>
            <a:solidFill>
              <a:schemeClr val="accent3">
                <a:lumMod val="60000"/>
              </a:schemeClr>
            </a:solidFill>
            <a:ln>
              <a:noFill/>
            </a:ln>
            <a:effectLst/>
          </c:spPr>
          <c:invertIfNegative val="0"/>
          <c:val>
            <c:numRef>
              <c:f>DashBoard!$G$73</c:f>
              <c:numCache>
                <c:formatCode>_(* #,##0_);[Red]_(* \(#,##0\);_(* "-"_);_(@_)</c:formatCode>
                <c:ptCount val="1"/>
                <c:pt idx="0">
                  <c:v>0</c:v>
                </c:pt>
              </c:numCache>
            </c:numRef>
          </c:val>
          <c:extLst>
            <c:ext xmlns:c16="http://schemas.microsoft.com/office/drawing/2014/chart" uri="{C3380CC4-5D6E-409C-BE32-E72D297353CC}">
              <c16:uniqueId val="{00000008-6851-4442-966B-596A2CF4A68F}"/>
            </c:ext>
          </c:extLst>
        </c:ser>
        <c:dLbls>
          <c:showLegendKey val="0"/>
          <c:showVal val="0"/>
          <c:showCatName val="0"/>
          <c:showSerName val="0"/>
          <c:showPercent val="0"/>
          <c:showBubbleSize val="0"/>
        </c:dLbls>
        <c:gapWidth val="150"/>
        <c:axId val="655938624"/>
        <c:axId val="655939800"/>
      </c:barChart>
      <c:catAx>
        <c:axId val="655938624"/>
        <c:scaling>
          <c:orientation val="minMax"/>
        </c:scaling>
        <c:delete val="1"/>
        <c:axPos val="b"/>
        <c:majorTickMark val="out"/>
        <c:minorTickMark val="none"/>
        <c:tickLblPos val="none"/>
        <c:crossAx val="655939800"/>
        <c:crosses val="autoZero"/>
        <c:auto val="1"/>
        <c:lblAlgn val="ctr"/>
        <c:lblOffset val="100"/>
        <c:noMultiLvlLbl val="0"/>
      </c:catAx>
      <c:valAx>
        <c:axId val="655939800"/>
        <c:scaling>
          <c:orientation val="minMax"/>
        </c:scaling>
        <c:delete val="0"/>
        <c:axPos val="l"/>
        <c:majorGridlines>
          <c:spPr>
            <a:ln w="9525" cap="flat" cmpd="sng" algn="ctr">
              <a:solidFill>
                <a:schemeClr val="tx1">
                  <a:tint val="75000"/>
                </a:schemeClr>
              </a:solidFill>
              <a:prstDash val="solid"/>
              <a:round/>
            </a:ln>
            <a:effectLst/>
          </c:spPr>
        </c:majorGridlines>
        <c:numFmt formatCode="_(* #,##0_);[Red]_(* \(#,##0\);_(* &quot;-&quot;_);_(@_)" sourceLinked="1"/>
        <c:majorTickMark val="out"/>
        <c:minorTickMark val="none"/>
        <c:tickLblPos val="nextTo"/>
        <c:spPr>
          <a:noFill/>
          <a:ln w="9525"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655938624"/>
        <c:crosses val="autoZero"/>
        <c:crossBetween val="between"/>
      </c:valAx>
      <c:spPr>
        <a:solidFill>
          <a:schemeClr val="bg1"/>
        </a:solidFill>
        <a:ln>
          <a:noFill/>
        </a:ln>
        <a:effectLst/>
      </c:spPr>
    </c:plotArea>
    <c:legend>
      <c:legendPos val="r"/>
      <c:layout>
        <c:manualLayout>
          <c:xMode val="edge"/>
          <c:yMode val="edge"/>
          <c:x val="0.65290525781051556"/>
          <c:y val="0.14449612806663631"/>
          <c:w val="0.33333439738951565"/>
          <c:h val="0.816957204673739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28575" cap="flat" cmpd="sng" algn="ctr">
      <a:solidFill>
        <a:schemeClr val="tx1"/>
      </a:solidFill>
      <a:prstDash val="solid"/>
      <a:round/>
    </a:ln>
    <a:effectLst/>
  </c:spPr>
  <c:txPr>
    <a:bodyPr/>
    <a:lstStyle/>
    <a:p>
      <a:pPr>
        <a:defRPr/>
      </a:pPr>
      <a:endParaRPr lang="en-US"/>
    </a:p>
  </c:txPr>
  <c:printSettings>
    <c:headerFooter alignWithMargins="0"/>
    <c:pageMargins b="1" l="0.75000000000000056" r="0.75000000000000056"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sz="1000"/>
              <a:t>Changes in Current Assets and Liabilities in the Analysed month for the PREVIOUS year</a:t>
            </a:r>
          </a:p>
        </c:rich>
      </c:tx>
      <c:layout>
        <c:manualLayout>
          <c:xMode val="edge"/>
          <c:yMode val="edge"/>
          <c:x val="0.13125000000000001"/>
          <c:y val="2.9126213592233007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0.21479591836734696"/>
          <c:y val="0.10326714974581663"/>
          <c:w val="0.40312500000000001"/>
          <c:h val="0.83914876919454839"/>
        </c:manualLayout>
      </c:layout>
      <c:barChart>
        <c:barDir val="col"/>
        <c:grouping val="clustered"/>
        <c:varyColors val="0"/>
        <c:ser>
          <c:idx val="0"/>
          <c:order val="0"/>
          <c:tx>
            <c:strRef>
              <c:f>DashBoard!$F$65</c:f>
              <c:strCache>
                <c:ptCount val="1"/>
                <c:pt idx="0">
                  <c:v>Accum. Depreciation, Vehicles</c:v>
                </c:pt>
              </c:strCache>
            </c:strRef>
          </c:tx>
          <c:spPr>
            <a:solidFill>
              <a:schemeClr val="accent1"/>
            </a:solidFill>
            <a:ln>
              <a:noFill/>
            </a:ln>
            <a:effectLst/>
          </c:spPr>
          <c:invertIfNegative val="0"/>
          <c:val>
            <c:numRef>
              <c:f>DashBoard!$H$65</c:f>
              <c:numCache>
                <c:formatCode>_(* #,##0_);[Red]_(* \(#,##0\);_(* "-"_);_(@_)</c:formatCode>
                <c:ptCount val="1"/>
                <c:pt idx="0">
                  <c:v>0</c:v>
                </c:pt>
              </c:numCache>
            </c:numRef>
          </c:val>
          <c:extLst>
            <c:ext xmlns:c16="http://schemas.microsoft.com/office/drawing/2014/chart" uri="{C3380CC4-5D6E-409C-BE32-E72D297353CC}">
              <c16:uniqueId val="{00000000-F1CD-4CEC-9D49-39DD8EA1DB57}"/>
            </c:ext>
          </c:extLst>
        </c:ser>
        <c:ser>
          <c:idx val="1"/>
          <c:order val="1"/>
          <c:tx>
            <c:strRef>
              <c:f>DashBoard!$F$66</c:f>
              <c:strCache>
                <c:ptCount val="1"/>
                <c:pt idx="0">
                  <c:v>Securities, Total</c:v>
                </c:pt>
              </c:strCache>
            </c:strRef>
          </c:tx>
          <c:spPr>
            <a:solidFill>
              <a:schemeClr val="accent2"/>
            </a:solidFill>
            <a:ln>
              <a:noFill/>
            </a:ln>
            <a:effectLst/>
          </c:spPr>
          <c:invertIfNegative val="0"/>
          <c:val>
            <c:numRef>
              <c:f>DashBoard!$H$66</c:f>
              <c:numCache>
                <c:formatCode>_(* #,##0_);[Red]_(* \(#,##0\);_(* "-"_);_(@_)</c:formatCode>
                <c:ptCount val="1"/>
                <c:pt idx="0">
                  <c:v>0</c:v>
                </c:pt>
              </c:numCache>
            </c:numRef>
          </c:val>
          <c:extLst>
            <c:ext xmlns:c16="http://schemas.microsoft.com/office/drawing/2014/chart" uri="{C3380CC4-5D6E-409C-BE32-E72D297353CC}">
              <c16:uniqueId val="{00000001-F1CD-4CEC-9D49-39DD8EA1DB57}"/>
            </c:ext>
          </c:extLst>
        </c:ser>
        <c:ser>
          <c:idx val="2"/>
          <c:order val="2"/>
          <c:tx>
            <c:strRef>
              <c:f>DashBoard!$F$67</c:f>
              <c:strCache>
                <c:ptCount val="1"/>
                <c:pt idx="0">
                  <c:v>Accounts Receivable, Total</c:v>
                </c:pt>
              </c:strCache>
            </c:strRef>
          </c:tx>
          <c:spPr>
            <a:solidFill>
              <a:schemeClr val="accent3"/>
            </a:solidFill>
            <a:ln>
              <a:noFill/>
            </a:ln>
            <a:effectLst/>
          </c:spPr>
          <c:invertIfNegative val="0"/>
          <c:val>
            <c:numRef>
              <c:f>DashBoard!$H$67</c:f>
              <c:numCache>
                <c:formatCode>_(* #,##0_);[Red]_(* \(#,##0\);_(* "-"_);_(@_)</c:formatCode>
                <c:ptCount val="1"/>
                <c:pt idx="0">
                  <c:v>-3648760.49</c:v>
                </c:pt>
              </c:numCache>
            </c:numRef>
          </c:val>
          <c:extLst>
            <c:ext xmlns:c16="http://schemas.microsoft.com/office/drawing/2014/chart" uri="{C3380CC4-5D6E-409C-BE32-E72D297353CC}">
              <c16:uniqueId val="{00000002-F1CD-4CEC-9D49-39DD8EA1DB57}"/>
            </c:ext>
          </c:extLst>
        </c:ser>
        <c:ser>
          <c:idx val="3"/>
          <c:order val="3"/>
          <c:tx>
            <c:strRef>
              <c:f>DashBoard!$F$68</c:f>
              <c:strCache>
                <c:ptCount val="1"/>
                <c:pt idx="0">
                  <c:v>Inventory, Total</c:v>
                </c:pt>
              </c:strCache>
            </c:strRef>
          </c:tx>
          <c:spPr>
            <a:solidFill>
              <a:schemeClr val="accent4"/>
            </a:solidFill>
            <a:ln>
              <a:noFill/>
            </a:ln>
            <a:effectLst/>
          </c:spPr>
          <c:invertIfNegative val="0"/>
          <c:val>
            <c:numRef>
              <c:f>DashBoard!$H$68</c:f>
              <c:numCache>
                <c:formatCode>_(* #,##0_);[Red]_(* \(#,##0\);_(* "-"_);_(@_)</c:formatCode>
                <c:ptCount val="1"/>
                <c:pt idx="0">
                  <c:v>-135332.84</c:v>
                </c:pt>
              </c:numCache>
            </c:numRef>
          </c:val>
          <c:extLst>
            <c:ext xmlns:c16="http://schemas.microsoft.com/office/drawing/2014/chart" uri="{C3380CC4-5D6E-409C-BE32-E72D297353CC}">
              <c16:uniqueId val="{00000003-F1CD-4CEC-9D49-39DD8EA1DB57}"/>
            </c:ext>
          </c:extLst>
        </c:ser>
        <c:ser>
          <c:idx val="4"/>
          <c:order val="4"/>
          <c:tx>
            <c:strRef>
              <c:f>DashBoard!$F$69</c:f>
              <c:strCache>
                <c:ptCount val="1"/>
                <c:pt idx="0">
                  <c:v>Purchase Prepayments, Total</c:v>
                </c:pt>
              </c:strCache>
            </c:strRef>
          </c:tx>
          <c:spPr>
            <a:solidFill>
              <a:schemeClr val="accent5"/>
            </a:solidFill>
            <a:ln>
              <a:noFill/>
            </a:ln>
            <a:effectLst/>
          </c:spPr>
          <c:invertIfNegative val="0"/>
          <c:val>
            <c:numRef>
              <c:f>DashBoard!$H$69</c:f>
              <c:numCache>
                <c:formatCode>_(* #,##0_);[Red]_(* \(#,##0\);_(* "-"_);_(@_)</c:formatCode>
                <c:ptCount val="1"/>
                <c:pt idx="0">
                  <c:v>0</c:v>
                </c:pt>
              </c:numCache>
            </c:numRef>
          </c:val>
          <c:extLst>
            <c:ext xmlns:c16="http://schemas.microsoft.com/office/drawing/2014/chart" uri="{C3380CC4-5D6E-409C-BE32-E72D297353CC}">
              <c16:uniqueId val="{00000004-F1CD-4CEC-9D49-39DD8EA1DB57}"/>
            </c:ext>
          </c:extLst>
        </c:ser>
        <c:ser>
          <c:idx val="5"/>
          <c:order val="5"/>
          <c:tx>
            <c:strRef>
              <c:f>DashBoard!$F$70</c:f>
              <c:strCache>
                <c:ptCount val="1"/>
                <c:pt idx="0">
                  <c:v>Accounts Payable, Total</c:v>
                </c:pt>
              </c:strCache>
            </c:strRef>
          </c:tx>
          <c:spPr>
            <a:solidFill>
              <a:schemeClr val="accent6"/>
            </a:solidFill>
            <a:ln>
              <a:noFill/>
            </a:ln>
            <a:effectLst/>
          </c:spPr>
          <c:invertIfNegative val="0"/>
          <c:val>
            <c:numRef>
              <c:f>DashBoard!$H$70</c:f>
              <c:numCache>
                <c:formatCode>_(* #,##0_);[Red]_(* \(#,##0\);_(* "-"_);_(@_)</c:formatCode>
                <c:ptCount val="1"/>
                <c:pt idx="0">
                  <c:v>5233661.7</c:v>
                </c:pt>
              </c:numCache>
            </c:numRef>
          </c:val>
          <c:extLst>
            <c:ext xmlns:c16="http://schemas.microsoft.com/office/drawing/2014/chart" uri="{C3380CC4-5D6E-409C-BE32-E72D297353CC}">
              <c16:uniqueId val="{00000005-F1CD-4CEC-9D49-39DD8EA1DB57}"/>
            </c:ext>
          </c:extLst>
        </c:ser>
        <c:ser>
          <c:idx val="6"/>
          <c:order val="6"/>
          <c:tx>
            <c:strRef>
              <c:f>DashBoard!$F$71</c:f>
              <c:strCache>
                <c:ptCount val="1"/>
                <c:pt idx="0">
                  <c:v>Revolving Credit</c:v>
                </c:pt>
              </c:strCache>
            </c:strRef>
          </c:tx>
          <c:spPr>
            <a:solidFill>
              <a:schemeClr val="accent1">
                <a:lumMod val="60000"/>
              </a:schemeClr>
            </a:solidFill>
            <a:ln>
              <a:noFill/>
            </a:ln>
            <a:effectLst/>
          </c:spPr>
          <c:invertIfNegative val="0"/>
          <c:val>
            <c:numRef>
              <c:f>DashBoard!$H$71</c:f>
              <c:numCache>
                <c:formatCode>_(* #,##0_);[Red]_(* \(#,##0\);_(* "-"_);_(@_)</c:formatCode>
                <c:ptCount val="1"/>
                <c:pt idx="0">
                  <c:v>0</c:v>
                </c:pt>
              </c:numCache>
            </c:numRef>
          </c:val>
          <c:extLst>
            <c:ext xmlns:c16="http://schemas.microsoft.com/office/drawing/2014/chart" uri="{C3380CC4-5D6E-409C-BE32-E72D297353CC}">
              <c16:uniqueId val="{00000006-F1CD-4CEC-9D49-39DD8EA1DB57}"/>
            </c:ext>
          </c:extLst>
        </c:ser>
        <c:ser>
          <c:idx val="7"/>
          <c:order val="7"/>
          <c:tx>
            <c:strRef>
              <c:f>DashBoard!$F$72</c:f>
              <c:strCache>
                <c:ptCount val="1"/>
                <c:pt idx="0">
                  <c:v>Total Personnel-related Items</c:v>
                </c:pt>
              </c:strCache>
            </c:strRef>
          </c:tx>
          <c:spPr>
            <a:solidFill>
              <a:schemeClr val="accent2">
                <a:lumMod val="60000"/>
              </a:schemeClr>
            </a:solidFill>
            <a:ln>
              <a:noFill/>
            </a:ln>
            <a:effectLst/>
          </c:spPr>
          <c:invertIfNegative val="0"/>
          <c:val>
            <c:numRef>
              <c:f>DashBoard!$H$72</c:f>
              <c:numCache>
                <c:formatCode>_(* #,##0_);[Red]_(* \(#,##0\);_(* "-"_);_(@_)</c:formatCode>
                <c:ptCount val="1"/>
                <c:pt idx="0">
                  <c:v>0</c:v>
                </c:pt>
              </c:numCache>
            </c:numRef>
          </c:val>
          <c:extLst>
            <c:ext xmlns:c16="http://schemas.microsoft.com/office/drawing/2014/chart" uri="{C3380CC4-5D6E-409C-BE32-E72D297353CC}">
              <c16:uniqueId val="{00000007-F1CD-4CEC-9D49-39DD8EA1DB57}"/>
            </c:ext>
          </c:extLst>
        </c:ser>
        <c:ser>
          <c:idx val="8"/>
          <c:order val="8"/>
          <c:tx>
            <c:strRef>
              <c:f>DashBoard!$F$73</c:f>
              <c:strCache>
                <c:ptCount val="1"/>
                <c:pt idx="0">
                  <c:v>Other Liabilities, Total</c:v>
                </c:pt>
              </c:strCache>
            </c:strRef>
          </c:tx>
          <c:spPr>
            <a:solidFill>
              <a:schemeClr val="accent3">
                <a:lumMod val="60000"/>
              </a:schemeClr>
            </a:solidFill>
            <a:ln>
              <a:noFill/>
            </a:ln>
            <a:effectLst/>
          </c:spPr>
          <c:invertIfNegative val="0"/>
          <c:val>
            <c:numRef>
              <c:f>DashBoard!$H$73</c:f>
              <c:numCache>
                <c:formatCode>_(* #,##0_);[Red]_(* \(#,##0\);_(* "-"_);_(@_)</c:formatCode>
                <c:ptCount val="1"/>
                <c:pt idx="0">
                  <c:v>0</c:v>
                </c:pt>
              </c:numCache>
            </c:numRef>
          </c:val>
          <c:extLst>
            <c:ext xmlns:c16="http://schemas.microsoft.com/office/drawing/2014/chart" uri="{C3380CC4-5D6E-409C-BE32-E72D297353CC}">
              <c16:uniqueId val="{00000008-F1CD-4CEC-9D49-39DD8EA1DB57}"/>
            </c:ext>
          </c:extLst>
        </c:ser>
        <c:dLbls>
          <c:showLegendKey val="0"/>
          <c:showVal val="0"/>
          <c:showCatName val="0"/>
          <c:showSerName val="0"/>
          <c:showPercent val="0"/>
          <c:showBubbleSize val="0"/>
        </c:dLbls>
        <c:gapWidth val="150"/>
        <c:axId val="251546704"/>
        <c:axId val="251543960"/>
      </c:barChart>
      <c:catAx>
        <c:axId val="251546704"/>
        <c:scaling>
          <c:orientation val="minMax"/>
        </c:scaling>
        <c:delete val="1"/>
        <c:axPos val="b"/>
        <c:majorTickMark val="out"/>
        <c:minorTickMark val="none"/>
        <c:tickLblPos val="none"/>
        <c:crossAx val="251543960"/>
        <c:crosses val="autoZero"/>
        <c:auto val="1"/>
        <c:lblAlgn val="ctr"/>
        <c:lblOffset val="100"/>
        <c:noMultiLvlLbl val="0"/>
      </c:catAx>
      <c:valAx>
        <c:axId val="251543960"/>
        <c:scaling>
          <c:orientation val="minMax"/>
        </c:scaling>
        <c:delete val="0"/>
        <c:axPos val="l"/>
        <c:majorGridlines>
          <c:spPr>
            <a:ln w="9525" cap="flat" cmpd="sng" algn="ctr">
              <a:solidFill>
                <a:schemeClr val="tx1">
                  <a:tint val="75000"/>
                </a:schemeClr>
              </a:solidFill>
              <a:prstDash val="solid"/>
              <a:round/>
            </a:ln>
            <a:effectLst/>
          </c:spPr>
        </c:majorGridlines>
        <c:numFmt formatCode="_(* #,##0_);[Red]_(* \(#,##0\);_(* &quot;-&quot;_);_(@_)" sourceLinked="1"/>
        <c:majorTickMark val="out"/>
        <c:minorTickMark val="none"/>
        <c:tickLblPos val="nextTo"/>
        <c:spPr>
          <a:noFill/>
          <a:ln w="9525"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251546704"/>
        <c:crosses val="autoZero"/>
        <c:crossBetween val="between"/>
      </c:valAx>
      <c:spPr>
        <a:solidFill>
          <a:schemeClr val="bg1"/>
        </a:solidFill>
        <a:ln>
          <a:noFill/>
        </a:ln>
        <a:effectLst/>
      </c:spPr>
    </c:plotArea>
    <c:legend>
      <c:legendPos val="r"/>
      <c:layout>
        <c:manualLayout>
          <c:xMode val="edge"/>
          <c:yMode val="edge"/>
          <c:x val="0.66250000000000009"/>
          <c:y val="0.14534913232933269"/>
          <c:w val="0.3125"/>
          <c:h val="0.8217070050709680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28575" cap="flat" cmpd="sng" algn="ctr">
      <a:solidFill>
        <a:schemeClr val="tx1"/>
      </a:solidFill>
      <a:prstDash val="solid"/>
      <a:round/>
    </a:ln>
    <a:effectLst/>
  </c:spPr>
  <c:txPr>
    <a:bodyPr/>
    <a:lstStyle/>
    <a:p>
      <a:pPr>
        <a:defRPr/>
      </a:pPr>
      <a:endParaRPr lang="en-US"/>
    </a:p>
  </c:txPr>
  <c:printSettings>
    <c:headerFooter alignWithMargins="0"/>
    <c:pageMargins b="1" l="0.75000000000000056" r="0.75000000000000056"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en-US" b="1"/>
              <a:t>Sales by division</a:t>
            </a:r>
          </a:p>
        </c:rich>
      </c:tx>
      <c:layout/>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DashBoard!$M$25</c:f>
              <c:strCache>
                <c:ptCount val="1"/>
                <c:pt idx="0">
                  <c:v>North America</c:v>
                </c:pt>
              </c:strCache>
            </c:strRef>
          </c:tx>
          <c:spPr>
            <a:gradFill rotWithShape="1">
              <a:gsLst>
                <a:gs pos="0">
                  <a:schemeClr val="accent6">
                    <a:tint val="70000"/>
                    <a:satMod val="100000"/>
                    <a:lumMod val="110000"/>
                  </a:schemeClr>
                </a:gs>
                <a:gs pos="50000">
                  <a:schemeClr val="accent6">
                    <a:tint val="75000"/>
                    <a:satMod val="101000"/>
                    <a:lumMod val="105000"/>
                  </a:schemeClr>
                </a:gs>
                <a:gs pos="100000">
                  <a:schemeClr val="accent6">
                    <a:tint val="82000"/>
                    <a:satMod val="104000"/>
                    <a:lumMod val="105000"/>
                  </a:schemeClr>
                </a:gs>
              </a:gsLst>
              <a:lin ang="2700000" scaled="0"/>
            </a:gradFill>
            <a:ln w="9525" cap="flat" cmpd="sng" algn="ctr">
              <a:solidFill>
                <a:schemeClr val="accent6">
                  <a:shade val="95000"/>
                </a:schemeClr>
              </a:solidFill>
              <a:round/>
            </a:ln>
            <a:effectLst/>
          </c:spPr>
          <c:invertIfNegative val="0"/>
          <c:cat>
            <c:multiLvlStrRef>
              <c:f>DashBoard!$N$23:$R$24</c:f>
              <c:multiLvlStrCache>
                <c:ptCount val="5"/>
                <c:lvl>
                  <c:pt idx="0">
                    <c:v>Actual</c:v>
                  </c:pt>
                  <c:pt idx="1">
                    <c:v>Actual</c:v>
                  </c:pt>
                  <c:pt idx="2">
                    <c:v>Forecast</c:v>
                  </c:pt>
                  <c:pt idx="3">
                    <c:v>Budget</c:v>
                  </c:pt>
                  <c:pt idx="4">
                    <c:v>Actual</c:v>
                  </c:pt>
                </c:lvl>
                <c:lvl>
                  <c:pt idx="0">
                    <c:v>YTD Jun '19</c:v>
                  </c:pt>
                  <c:pt idx="1">
                    <c:v>YTD Jun '18</c:v>
                  </c:pt>
                  <c:pt idx="2">
                    <c:v>FY 2019</c:v>
                  </c:pt>
                  <c:pt idx="3">
                    <c:v>FY 2019</c:v>
                  </c:pt>
                  <c:pt idx="4">
                    <c:v>FY 2018</c:v>
                  </c:pt>
                </c:lvl>
              </c:multiLvlStrCache>
            </c:multiLvlStrRef>
          </c:cat>
          <c:val>
            <c:numRef>
              <c:f>DashBoard!$N$25:$R$25</c:f>
              <c:numCache>
                <c:formatCode>_(* #,##0_);[Red]_(* \(#,##0\);_(* "-"_);_(@_)</c:formatCode>
                <c:ptCount val="5"/>
                <c:pt idx="0">
                  <c:v>8467627.2199999988</c:v>
                </c:pt>
                <c:pt idx="1">
                  <c:v>5686825.79</c:v>
                </c:pt>
                <c:pt idx="2">
                  <c:v>18961251.136809815</c:v>
                </c:pt>
                <c:pt idx="3">
                  <c:v>16646074.869999999</c:v>
                </c:pt>
                <c:pt idx="4">
                  <c:v>14134245.060000001</c:v>
                </c:pt>
              </c:numCache>
            </c:numRef>
          </c:val>
          <c:extLst>
            <c:ext xmlns:c16="http://schemas.microsoft.com/office/drawing/2014/chart" uri="{C3380CC4-5D6E-409C-BE32-E72D297353CC}">
              <c16:uniqueId val="{00000000-7B09-4B75-AF3C-922A05DCE5B1}"/>
            </c:ext>
          </c:extLst>
        </c:ser>
        <c:ser>
          <c:idx val="1"/>
          <c:order val="1"/>
          <c:tx>
            <c:strRef>
              <c:f>DashBoard!$M$26</c:f>
              <c:strCache>
                <c:ptCount val="1"/>
                <c:pt idx="0">
                  <c:v>EU</c:v>
                </c:pt>
              </c:strCache>
            </c:strRef>
          </c:tx>
          <c:spPr>
            <a:gradFill rotWithShape="1">
              <a:gsLst>
                <a:gs pos="0">
                  <a:schemeClr val="accent5">
                    <a:tint val="70000"/>
                    <a:satMod val="100000"/>
                    <a:lumMod val="110000"/>
                  </a:schemeClr>
                </a:gs>
                <a:gs pos="50000">
                  <a:schemeClr val="accent5">
                    <a:tint val="75000"/>
                    <a:satMod val="101000"/>
                    <a:lumMod val="105000"/>
                  </a:schemeClr>
                </a:gs>
                <a:gs pos="100000">
                  <a:schemeClr val="accent5">
                    <a:tint val="82000"/>
                    <a:satMod val="104000"/>
                    <a:lumMod val="105000"/>
                  </a:schemeClr>
                </a:gs>
              </a:gsLst>
              <a:lin ang="2700000" scaled="0"/>
            </a:gradFill>
            <a:ln w="9525" cap="flat" cmpd="sng" algn="ctr">
              <a:solidFill>
                <a:schemeClr val="accent5">
                  <a:shade val="95000"/>
                </a:schemeClr>
              </a:solidFill>
              <a:round/>
            </a:ln>
            <a:effectLst/>
          </c:spPr>
          <c:invertIfNegative val="0"/>
          <c:cat>
            <c:multiLvlStrRef>
              <c:f>DashBoard!$N$23:$R$24</c:f>
              <c:multiLvlStrCache>
                <c:ptCount val="5"/>
                <c:lvl>
                  <c:pt idx="0">
                    <c:v>Actual</c:v>
                  </c:pt>
                  <c:pt idx="1">
                    <c:v>Actual</c:v>
                  </c:pt>
                  <c:pt idx="2">
                    <c:v>Forecast</c:v>
                  </c:pt>
                  <c:pt idx="3">
                    <c:v>Budget</c:v>
                  </c:pt>
                  <c:pt idx="4">
                    <c:v>Actual</c:v>
                  </c:pt>
                </c:lvl>
                <c:lvl>
                  <c:pt idx="0">
                    <c:v>YTD Jun '19</c:v>
                  </c:pt>
                  <c:pt idx="1">
                    <c:v>YTD Jun '18</c:v>
                  </c:pt>
                  <c:pt idx="2">
                    <c:v>FY 2019</c:v>
                  </c:pt>
                  <c:pt idx="3">
                    <c:v>FY 2019</c:v>
                  </c:pt>
                  <c:pt idx="4">
                    <c:v>FY 2018</c:v>
                  </c:pt>
                </c:lvl>
              </c:multiLvlStrCache>
            </c:multiLvlStrRef>
          </c:cat>
          <c:val>
            <c:numRef>
              <c:f>DashBoard!$N$26:$R$26</c:f>
              <c:numCache>
                <c:formatCode>_(* #,##0_);[Red]_(* \(#,##0\);_(* "-"_);_(@_)</c:formatCode>
                <c:ptCount val="5"/>
                <c:pt idx="0">
                  <c:v>3484367.89</c:v>
                </c:pt>
                <c:pt idx="1">
                  <c:v>2380292.7999999998</c:v>
                </c:pt>
                <c:pt idx="2">
                  <c:v>7802418.8947852757</c:v>
                </c:pt>
                <c:pt idx="3">
                  <c:v>7049321.0800000001</c:v>
                </c:pt>
                <c:pt idx="4">
                  <c:v>5587754.4199999999</c:v>
                </c:pt>
              </c:numCache>
            </c:numRef>
          </c:val>
          <c:extLst>
            <c:ext xmlns:c16="http://schemas.microsoft.com/office/drawing/2014/chart" uri="{C3380CC4-5D6E-409C-BE32-E72D297353CC}">
              <c16:uniqueId val="{00000001-7B09-4B75-AF3C-922A05DCE5B1}"/>
            </c:ext>
          </c:extLst>
        </c:ser>
        <c:dLbls>
          <c:showLegendKey val="0"/>
          <c:showVal val="0"/>
          <c:showCatName val="0"/>
          <c:showSerName val="0"/>
          <c:showPercent val="0"/>
          <c:showBubbleSize val="0"/>
        </c:dLbls>
        <c:gapWidth val="100"/>
        <c:overlap val="-24"/>
        <c:axId val="251545920"/>
        <c:axId val="251547096"/>
      </c:barChart>
      <c:catAx>
        <c:axId val="25154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51547096"/>
        <c:crosses val="autoZero"/>
        <c:auto val="1"/>
        <c:lblAlgn val="ctr"/>
        <c:lblOffset val="100"/>
        <c:noMultiLvlLbl val="0"/>
      </c:catAx>
      <c:valAx>
        <c:axId val="251547096"/>
        <c:scaling>
          <c:orientation val="minMax"/>
        </c:scaling>
        <c:delete val="0"/>
        <c:axPos val="l"/>
        <c:majorGridlines>
          <c:spPr>
            <a:ln w="9525" cap="flat" cmpd="sng" algn="ctr">
              <a:solidFill>
                <a:schemeClr val="tx1">
                  <a:lumMod val="15000"/>
                  <a:lumOff val="85000"/>
                </a:schemeClr>
              </a:solidFill>
              <a:round/>
            </a:ln>
            <a:effectLst/>
          </c:spPr>
        </c:majorGridlines>
        <c:numFmt formatCode="_(* #,##0_);[Red]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51545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jetreports.com/web"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57</xdr:row>
      <xdr:rowOff>0</xdr:rowOff>
    </xdr:from>
    <xdr:to>
      <xdr:col>14</xdr:col>
      <xdr:colOff>481330</xdr:colOff>
      <xdr:row>85</xdr:row>
      <xdr:rowOff>10584</xdr:rowOff>
    </xdr:to>
    <xdr:graphicFrame macro="">
      <xdr:nvGraphicFramePr>
        <xdr:cNvPr id="102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603250</xdr:colOff>
      <xdr:row>57</xdr:row>
      <xdr:rowOff>0</xdr:rowOff>
    </xdr:from>
    <xdr:to>
      <xdr:col>18</xdr:col>
      <xdr:colOff>15663</xdr:colOff>
      <xdr:row>85</xdr:row>
      <xdr:rowOff>10584</xdr:rowOff>
    </xdr:to>
    <xdr:graphicFrame macro="">
      <xdr:nvGraphicFramePr>
        <xdr:cNvPr id="103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148165</xdr:colOff>
      <xdr:row>33</xdr:row>
      <xdr:rowOff>10583</xdr:rowOff>
    </xdr:from>
    <xdr:to>
      <xdr:col>18</xdr:col>
      <xdr:colOff>0</xdr:colOff>
      <xdr:row>47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Metropolitan">
  <a:themeElements>
    <a:clrScheme name="Metropolitan">
      <a:dk1>
        <a:sysClr val="windowText" lastClr="000000"/>
      </a:dk1>
      <a:lt1>
        <a:sysClr val="window" lastClr="FFFFFF"/>
      </a:lt1>
      <a:dk2>
        <a:srgbClr val="162F33"/>
      </a:dk2>
      <a:lt2>
        <a:srgbClr val="EAF0E0"/>
      </a:lt2>
      <a:accent1>
        <a:srgbClr val="50B4C8"/>
      </a:accent1>
      <a:accent2>
        <a:srgbClr val="A8B97F"/>
      </a:accent2>
      <a:accent3>
        <a:srgbClr val="9B9256"/>
      </a:accent3>
      <a:accent4>
        <a:srgbClr val="657689"/>
      </a:accent4>
      <a:accent5>
        <a:srgbClr val="7A855D"/>
      </a:accent5>
      <a:accent6>
        <a:srgbClr val="84AC9D"/>
      </a:accent6>
      <a:hlink>
        <a:srgbClr val="2370CD"/>
      </a:hlink>
      <a:folHlink>
        <a:srgbClr val="877589"/>
      </a:folHlink>
    </a:clrScheme>
    <a:fontScheme name="Metropolitan">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Metropolitan">
      <a:fillStyleLst>
        <a:solidFill>
          <a:schemeClr val="phClr"/>
        </a:solidFill>
        <a:gradFill rotWithShape="1">
          <a:gsLst>
            <a:gs pos="0">
              <a:schemeClr val="phClr">
                <a:tint val="70000"/>
                <a:satMod val="100000"/>
                <a:lumMod val="110000"/>
              </a:schemeClr>
            </a:gs>
            <a:gs pos="50000">
              <a:schemeClr val="phClr">
                <a:tint val="75000"/>
                <a:satMod val="101000"/>
                <a:lumMod val="105000"/>
              </a:schemeClr>
            </a:gs>
            <a:gs pos="100000">
              <a:schemeClr val="phClr">
                <a:tint val="82000"/>
                <a:satMod val="104000"/>
                <a:lumMod val="105000"/>
              </a:schemeClr>
            </a:gs>
          </a:gsLst>
          <a:lin ang="2700000" scaled="0"/>
        </a:gradFill>
        <a:gradFill rotWithShape="1">
          <a:gsLst>
            <a:gs pos="0">
              <a:schemeClr val="phClr">
                <a:tint val="97000"/>
                <a:satMod val="100000"/>
                <a:lumMod val="102000"/>
              </a:schemeClr>
            </a:gs>
            <a:gs pos="50000">
              <a:schemeClr val="phClr">
                <a:shade val="100000"/>
                <a:satMod val="100000"/>
                <a:lumMod val="100000"/>
              </a:schemeClr>
            </a:gs>
            <a:gs pos="100000">
              <a:schemeClr val="phClr">
                <a:shade val="80000"/>
                <a:satMod val="100000"/>
                <a:lumMod val="99000"/>
              </a:schemeClr>
            </a:gs>
          </a:gsLst>
          <a:lin ang="27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solidFill>
          <a:schemeClr val="phClr">
            <a:shade val="95000"/>
            <a:satMod val="170000"/>
          </a:schemeClr>
        </a:solidFill>
      </a:bgFillStyleLst>
    </a:fmtScheme>
  </a:themeElements>
  <a:objectDefaults/>
  <a:extraClrSchemeLst/>
  <a:extLst>
    <a:ext uri="{05A4C25C-085E-4340-85A3-A5531E510DB2}">
      <thm15:themeFamily xmlns:thm15="http://schemas.microsoft.com/office/thememl/2012/main" name="Metropolitan" id="{4C5440D6-04D2-4954-96CF-F251137069B2}" vid="{79CFCA13-9412-4290-BB4B-85112F88857B}"/>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1.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tabSelected="1" workbookViewId="0"/>
  </sheetViews>
  <sheetFormatPr defaultColWidth="9.140625" defaultRowHeight="14.25" x14ac:dyDescent="0.25"/>
  <cols>
    <col min="1" max="1" width="4.42578125" style="131" hidden="1" customWidth="1"/>
    <col min="2" max="2" width="9.140625" style="131"/>
    <col min="3" max="3" width="32" style="132" bestFit="1" customWidth="1"/>
    <col min="4" max="4" width="77.28515625" style="133" customWidth="1"/>
    <col min="5" max="5" width="10.140625" style="132" customWidth="1"/>
    <col min="6" max="16384" width="9.140625" style="131"/>
  </cols>
  <sheetData>
    <row r="1" spans="1:5" ht="14.25" hidden="1" customHeight="1" x14ac:dyDescent="0.25">
      <c r="A1" s="131" t="s">
        <v>55</v>
      </c>
    </row>
    <row r="7" spans="1:5" ht="30.75" x14ac:dyDescent="0.25">
      <c r="C7" s="134" t="s">
        <v>447</v>
      </c>
    </row>
    <row r="9" spans="1:5" ht="85.5" x14ac:dyDescent="0.25">
      <c r="C9" s="135" t="s">
        <v>56</v>
      </c>
      <c r="D9" s="133" t="s">
        <v>465</v>
      </c>
    </row>
    <row r="10" spans="1:5" x14ac:dyDescent="0.25">
      <c r="C10" s="135"/>
    </row>
    <row r="11" spans="1:5" ht="15" thickBot="1" x14ac:dyDescent="0.3">
      <c r="C11" s="135" t="s">
        <v>451</v>
      </c>
      <c r="D11" s="133" t="s">
        <v>452</v>
      </c>
    </row>
    <row r="12" spans="1:5" ht="43.5" thickBot="1" x14ac:dyDescent="0.3">
      <c r="C12" s="135"/>
      <c r="D12" s="137" t="s">
        <v>443</v>
      </c>
    </row>
    <row r="13" spans="1:5" x14ac:dyDescent="0.25">
      <c r="C13" s="135"/>
    </row>
    <row r="14" spans="1:5" ht="42.75" x14ac:dyDescent="0.25">
      <c r="C14" s="135" t="s">
        <v>57</v>
      </c>
      <c r="D14" s="133" t="s">
        <v>453</v>
      </c>
      <c r="E14" s="136" t="s">
        <v>58</v>
      </c>
    </row>
    <row r="15" spans="1:5" ht="16.5" customHeight="1" x14ac:dyDescent="0.25">
      <c r="C15" s="135"/>
    </row>
    <row r="16" spans="1:5" ht="28.5" x14ac:dyDescent="0.25">
      <c r="C16" s="135" t="s">
        <v>59</v>
      </c>
      <c r="D16" s="133" t="s">
        <v>454</v>
      </c>
      <c r="E16" s="136" t="s">
        <v>60</v>
      </c>
    </row>
    <row r="17" spans="3:5" x14ac:dyDescent="0.25">
      <c r="C17" s="135"/>
    </row>
    <row r="18" spans="3:5" ht="57" x14ac:dyDescent="0.25">
      <c r="C18" s="135" t="s">
        <v>450</v>
      </c>
      <c r="D18" s="133" t="s">
        <v>455</v>
      </c>
      <c r="E18" s="136" t="s">
        <v>456</v>
      </c>
    </row>
    <row r="19" spans="3:5" x14ac:dyDescent="0.25">
      <c r="C19" s="135"/>
    </row>
    <row r="20" spans="3:5" ht="28.5" x14ac:dyDescent="0.25">
      <c r="C20" s="135" t="s">
        <v>61</v>
      </c>
      <c r="D20" s="133" t="s">
        <v>457</v>
      </c>
      <c r="E20" s="136" t="s">
        <v>458</v>
      </c>
    </row>
    <row r="21" spans="3:5" x14ac:dyDescent="0.25">
      <c r="C21" s="135"/>
    </row>
    <row r="22" spans="3:5" x14ac:dyDescent="0.25">
      <c r="C22" s="135" t="s">
        <v>62</v>
      </c>
      <c r="D22" s="133" t="s">
        <v>459</v>
      </c>
      <c r="E22" s="136" t="s">
        <v>460</v>
      </c>
    </row>
    <row r="23" spans="3:5" x14ac:dyDescent="0.25">
      <c r="C23" s="135"/>
    </row>
    <row r="24" spans="3:5" x14ac:dyDescent="0.25">
      <c r="C24" s="135" t="s">
        <v>63</v>
      </c>
      <c r="D24" s="133" t="s">
        <v>461</v>
      </c>
      <c r="E24" s="136" t="s">
        <v>462</v>
      </c>
    </row>
    <row r="25" spans="3:5" x14ac:dyDescent="0.25">
      <c r="C25" s="135"/>
    </row>
    <row r="26" spans="3:5" ht="71.25" x14ac:dyDescent="0.25">
      <c r="C26" s="135" t="s">
        <v>64</v>
      </c>
      <c r="D26" s="133" t="s">
        <v>463</v>
      </c>
    </row>
    <row r="27" spans="3:5" x14ac:dyDescent="0.25">
      <c r="C27" s="135"/>
    </row>
    <row r="28" spans="3:5" x14ac:dyDescent="0.25">
      <c r="C28" s="135" t="s">
        <v>65</v>
      </c>
      <c r="D28" s="133" t="s">
        <v>464</v>
      </c>
    </row>
  </sheetData>
  <hyperlinks>
    <hyperlink ref="E22" r:id="rId1"/>
    <hyperlink ref="E20" r:id="rId2"/>
    <hyperlink ref="E16" r:id="rId3"/>
    <hyperlink ref="E14" r:id="rId4"/>
    <hyperlink ref="E24" r:id="rId5"/>
    <hyperlink ref="E18" r:id="rId6"/>
  </hyperlinks>
  <pageMargins left="0.25" right="0.25" top="0.75" bottom="0.75" header="0.3" footer="0.3"/>
  <pageSetup scale="63" orientation="portrait"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6"/>
  <sheetViews>
    <sheetView workbookViewId="0"/>
  </sheetViews>
  <sheetFormatPr defaultColWidth="9.140625" defaultRowHeight="14.25" x14ac:dyDescent="0.25"/>
  <cols>
    <col min="1" max="1" width="9.140625" style="60" hidden="1" customWidth="1"/>
    <col min="2" max="2" width="9.140625" style="60"/>
    <col min="3" max="3" width="26.85546875" style="60" bestFit="1" customWidth="1"/>
    <col min="4" max="4" width="9.140625" style="60" bestFit="1" customWidth="1"/>
    <col min="5" max="16384" width="9.140625" style="60"/>
  </cols>
  <sheetData>
    <row r="1" spans="1:6" hidden="1" x14ac:dyDescent="0.25">
      <c r="A1" s="60" t="s">
        <v>476</v>
      </c>
      <c r="C1" s="60" t="s">
        <v>33</v>
      </c>
      <c r="D1" s="60" t="s">
        <v>34</v>
      </c>
      <c r="E1" s="60" t="s">
        <v>183</v>
      </c>
      <c r="F1" s="60" t="s">
        <v>448</v>
      </c>
    </row>
    <row r="3" spans="1:6" x14ac:dyDescent="0.25">
      <c r="C3" s="61" t="s">
        <v>54</v>
      </c>
    </row>
    <row r="5" spans="1:6" x14ac:dyDescent="0.25">
      <c r="A5" s="60" t="s">
        <v>32</v>
      </c>
      <c r="C5" s="62" t="s">
        <v>35</v>
      </c>
      <c r="D5" s="60" t="str">
        <f>"6/12/2019"</f>
        <v>6/12/2019</v>
      </c>
      <c r="F5" s="60" t="s">
        <v>449</v>
      </c>
    </row>
    <row r="6" spans="1:6" x14ac:dyDescent="0.25">
      <c r="A6" s="60" t="s">
        <v>32</v>
      </c>
      <c r="C6" s="60" t="s">
        <v>182</v>
      </c>
      <c r="D6" s="60" t="str">
        <f>"2019"</f>
        <v>2019</v>
      </c>
      <c r="E6" s="60" t="str">
        <f>"Lookup"</f>
        <v>Lookup</v>
      </c>
    </row>
  </sheetData>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shBoard">
    <outlinePr summaryBelow="0"/>
    <pageSetUpPr fitToPage="1"/>
  </sheetPr>
  <dimension ref="A1:AA88"/>
  <sheetViews>
    <sheetView showGridLines="0" topLeftCell="E15" zoomScale="90" zoomScaleNormal="90" workbookViewId="0"/>
  </sheetViews>
  <sheetFormatPr defaultColWidth="8.85546875" defaultRowHeight="15" x14ac:dyDescent="0.25"/>
  <cols>
    <col min="1" max="1" width="9.140625" style="89" hidden="1" customWidth="1"/>
    <col min="2" max="2" width="16.28515625" style="89" hidden="1" customWidth="1"/>
    <col min="3" max="3" width="20.7109375" style="89" hidden="1" customWidth="1"/>
    <col min="4" max="4" width="11.85546875" style="89" hidden="1" customWidth="1"/>
    <col min="5" max="5" width="2.140625" style="89" customWidth="1"/>
    <col min="6" max="6" width="46.85546875" style="89" bestFit="1" customWidth="1"/>
    <col min="7" max="7" width="14.5703125" style="89" bestFit="1" customWidth="1"/>
    <col min="8" max="8" width="14" style="89" bestFit="1" customWidth="1"/>
    <col min="9" max="11" width="15.28515625" style="89" bestFit="1" customWidth="1"/>
    <col min="12" max="12" width="2.85546875" style="89" bestFit="1" customWidth="1"/>
    <col min="13" max="13" width="24.5703125" style="89" customWidth="1"/>
    <col min="14" max="14" width="14.5703125" style="89" bestFit="1" customWidth="1"/>
    <col min="15" max="15" width="13.140625" style="89" bestFit="1" customWidth="1"/>
    <col min="16" max="18" width="14.5703125" style="89" bestFit="1" customWidth="1"/>
    <col min="19" max="19" width="2.85546875" style="89" bestFit="1" customWidth="1"/>
    <col min="20" max="16384" width="8.85546875" style="89"/>
  </cols>
  <sheetData>
    <row r="1" spans="1:26" hidden="1" x14ac:dyDescent="0.25">
      <c r="A1" s="78" t="s">
        <v>478</v>
      </c>
      <c r="B1" s="78" t="s">
        <v>21</v>
      </c>
      <c r="C1" s="78" t="s">
        <v>21</v>
      </c>
      <c r="D1" s="78" t="s">
        <v>21</v>
      </c>
      <c r="E1" s="78"/>
      <c r="F1" s="78" t="s">
        <v>36</v>
      </c>
      <c r="G1" s="78" t="s">
        <v>36</v>
      </c>
      <c r="H1" s="78" t="s">
        <v>36</v>
      </c>
      <c r="I1" s="78" t="s">
        <v>36</v>
      </c>
      <c r="J1" s="78" t="s">
        <v>36</v>
      </c>
      <c r="K1" s="78" t="s">
        <v>36</v>
      </c>
      <c r="L1" s="78" t="s">
        <v>36</v>
      </c>
      <c r="M1" s="78"/>
      <c r="N1" s="78" t="s">
        <v>36</v>
      </c>
      <c r="O1" s="78" t="s">
        <v>36</v>
      </c>
      <c r="P1" s="78" t="s">
        <v>36</v>
      </c>
      <c r="Q1" s="78" t="s">
        <v>36</v>
      </c>
      <c r="R1" s="78" t="s">
        <v>36</v>
      </c>
      <c r="S1" s="78" t="s">
        <v>36</v>
      </c>
      <c r="T1" s="78"/>
      <c r="U1" s="78"/>
      <c r="V1" s="78"/>
      <c r="W1" s="78"/>
      <c r="X1" s="78"/>
      <c r="Y1" s="78"/>
      <c r="Z1" s="78"/>
    </row>
    <row r="2" spans="1:26" hidden="1" x14ac:dyDescent="0.25">
      <c r="A2" s="78" t="s">
        <v>21</v>
      </c>
      <c r="B2" s="78"/>
      <c r="C2" s="78"/>
      <c r="D2" s="78"/>
      <c r="E2" s="78"/>
      <c r="F2" s="78"/>
      <c r="G2" s="78"/>
      <c r="H2" s="78"/>
      <c r="I2" s="78"/>
      <c r="J2" s="78"/>
      <c r="K2" s="78"/>
      <c r="L2" s="78"/>
      <c r="M2" s="78"/>
      <c r="N2" s="78"/>
      <c r="O2" s="78"/>
      <c r="P2" s="78"/>
      <c r="Q2" s="78"/>
      <c r="R2" s="78"/>
      <c r="S2" s="78"/>
      <c r="T2" s="78"/>
      <c r="U2" s="78"/>
      <c r="V2" s="78"/>
      <c r="W2" s="78"/>
      <c r="X2" s="78"/>
      <c r="Y2" s="78"/>
      <c r="Z2" s="78"/>
    </row>
    <row r="3" spans="1:26" hidden="1" x14ac:dyDescent="0.25">
      <c r="A3" s="78" t="s">
        <v>21</v>
      </c>
      <c r="B3" s="78"/>
      <c r="C3" s="79" t="str">
        <f>Options!$D$5</f>
        <v>6/12/2019</v>
      </c>
      <c r="D3" s="79"/>
      <c r="E3" s="79"/>
      <c r="F3" s="78"/>
      <c r="G3" s="78"/>
      <c r="H3" s="78"/>
      <c r="I3" s="78"/>
      <c r="J3" s="78"/>
      <c r="K3" s="78"/>
      <c r="L3" s="78"/>
      <c r="M3" s="78"/>
      <c r="N3" s="78"/>
      <c r="O3" s="78"/>
      <c r="P3" s="78"/>
      <c r="Q3" s="78"/>
      <c r="R3" s="78"/>
      <c r="S3" s="78"/>
      <c r="T3" s="78"/>
      <c r="U3" s="78"/>
      <c r="V3" s="78"/>
      <c r="W3" s="78"/>
      <c r="X3" s="78"/>
      <c r="Y3" s="78"/>
      <c r="Z3" s="78"/>
    </row>
    <row r="4" spans="1:26" hidden="1" x14ac:dyDescent="0.25">
      <c r="A4" s="78" t="s">
        <v>21</v>
      </c>
      <c r="B4" s="78"/>
      <c r="C4" s="79">
        <f>DATE(YEAR(C3)-1,MONTH(C3),DAY(C3))</f>
        <v>43263</v>
      </c>
      <c r="D4" s="79"/>
      <c r="E4" s="79"/>
      <c r="F4" s="78"/>
      <c r="G4" s="78"/>
      <c r="H4" s="78"/>
      <c r="I4" s="78"/>
      <c r="J4" s="78"/>
      <c r="K4" s="78"/>
      <c r="L4" s="78"/>
      <c r="M4" s="78"/>
      <c r="N4" s="78"/>
      <c r="O4" s="78"/>
      <c r="P4" s="78"/>
      <c r="Q4" s="78"/>
      <c r="R4" s="78"/>
      <c r="S4" s="78"/>
      <c r="T4" s="78"/>
      <c r="U4" s="78"/>
      <c r="V4" s="78"/>
      <c r="W4" s="78"/>
      <c r="X4" s="78"/>
      <c r="Y4" s="78"/>
      <c r="Z4" s="78"/>
    </row>
    <row r="5" spans="1:26" hidden="1" x14ac:dyDescent="0.25">
      <c r="A5" s="78" t="s">
        <v>21</v>
      </c>
      <c r="B5" s="78"/>
      <c r="C5" s="79">
        <f>DATE(YEAR(C3),1,1)</f>
        <v>43466</v>
      </c>
      <c r="D5" s="79"/>
      <c r="E5" s="79"/>
      <c r="F5" s="78"/>
      <c r="G5" s="78"/>
      <c r="H5" s="78"/>
      <c r="I5" s="78"/>
      <c r="J5" s="78"/>
      <c r="K5" s="78"/>
      <c r="L5" s="78"/>
      <c r="M5" s="78"/>
      <c r="N5" s="78"/>
      <c r="O5" s="78"/>
      <c r="P5" s="78"/>
      <c r="Q5" s="78"/>
      <c r="R5" s="78"/>
      <c r="S5" s="78"/>
      <c r="T5" s="78"/>
      <c r="U5" s="78"/>
      <c r="V5" s="78"/>
      <c r="W5" s="78"/>
      <c r="X5" s="78"/>
      <c r="Y5" s="78"/>
      <c r="Z5" s="78"/>
    </row>
    <row r="6" spans="1:26" hidden="1" x14ac:dyDescent="0.25">
      <c r="A6" s="78" t="s">
        <v>21</v>
      </c>
      <c r="B6" s="78"/>
      <c r="C6" s="79">
        <f>DATE(YEAR(C4),1,1)</f>
        <v>43101</v>
      </c>
      <c r="D6" s="79"/>
      <c r="E6" s="79"/>
      <c r="F6" s="78"/>
      <c r="G6" s="78"/>
      <c r="H6" s="78"/>
      <c r="I6" s="78"/>
      <c r="J6" s="78"/>
      <c r="K6" s="78"/>
      <c r="L6" s="78"/>
      <c r="M6" s="78"/>
      <c r="N6" s="78"/>
      <c r="O6" s="78"/>
      <c r="P6" s="78"/>
      <c r="Q6" s="78"/>
      <c r="R6" s="78"/>
      <c r="S6" s="78"/>
      <c r="T6" s="78"/>
      <c r="U6" s="78"/>
      <c r="V6" s="78"/>
      <c r="W6" s="78"/>
      <c r="X6" s="78"/>
      <c r="Y6" s="78"/>
      <c r="Z6" s="78"/>
    </row>
    <row r="7" spans="1:26" hidden="1" x14ac:dyDescent="0.25">
      <c r="A7" s="78" t="s">
        <v>21</v>
      </c>
      <c r="B7" s="78"/>
      <c r="C7" s="79">
        <f>C5-1</f>
        <v>43465</v>
      </c>
      <c r="D7" s="79"/>
      <c r="E7" s="79"/>
      <c r="F7" s="78"/>
      <c r="G7" s="78"/>
      <c r="H7" s="78"/>
      <c r="I7" s="78"/>
      <c r="J7" s="78"/>
      <c r="K7" s="78"/>
      <c r="L7" s="78"/>
      <c r="M7" s="78"/>
      <c r="N7" s="78"/>
      <c r="O7" s="78"/>
      <c r="P7" s="78"/>
      <c r="Q7" s="78"/>
      <c r="R7" s="78"/>
      <c r="S7" s="78"/>
      <c r="T7" s="78"/>
      <c r="U7" s="78"/>
      <c r="V7" s="78"/>
      <c r="W7" s="78"/>
      <c r="X7" s="78"/>
      <c r="Y7" s="78"/>
      <c r="Z7" s="78"/>
    </row>
    <row r="8" spans="1:26" hidden="1" x14ac:dyDescent="0.25">
      <c r="A8" s="78" t="s">
        <v>21</v>
      </c>
      <c r="B8" s="78"/>
      <c r="C8" s="79">
        <f>DATE(YEAR(C3)+1,1,1)-1</f>
        <v>43830</v>
      </c>
      <c r="D8" s="79"/>
      <c r="E8" s="79"/>
      <c r="F8" s="78"/>
      <c r="G8" s="78"/>
      <c r="H8" s="78"/>
      <c r="I8" s="78"/>
      <c r="J8" s="78"/>
      <c r="K8" s="78"/>
      <c r="L8" s="78"/>
      <c r="M8" s="78"/>
      <c r="N8" s="78"/>
      <c r="O8" s="78"/>
      <c r="P8" s="78"/>
      <c r="Q8" s="78"/>
      <c r="R8" s="78"/>
      <c r="S8" s="78"/>
      <c r="T8" s="78"/>
      <c r="U8" s="78"/>
      <c r="V8" s="78"/>
      <c r="W8" s="78"/>
      <c r="X8" s="78"/>
      <c r="Y8" s="78"/>
      <c r="Z8" s="78"/>
    </row>
    <row r="9" spans="1:26" hidden="1" x14ac:dyDescent="0.25">
      <c r="A9" s="78" t="s">
        <v>21</v>
      </c>
      <c r="B9" s="78" t="str">
        <f>(TEXT(C3,"mmm 'yy"))</f>
        <v>Jun '19</v>
      </c>
      <c r="C9" s="78" t="str">
        <f>"6/1/2019..6/30/2019"</f>
        <v>6/1/2019..6/30/2019</v>
      </c>
      <c r="D9" s="78"/>
      <c r="E9" s="78"/>
      <c r="F9" s="78"/>
      <c r="G9" s="78"/>
      <c r="H9" s="78"/>
      <c r="I9" s="78"/>
      <c r="J9" s="78"/>
      <c r="K9" s="78"/>
      <c r="L9" s="78"/>
      <c r="M9" s="78"/>
      <c r="N9" s="78"/>
      <c r="O9" s="78"/>
      <c r="P9" s="78"/>
      <c r="Q9" s="78"/>
      <c r="R9" s="78"/>
      <c r="S9" s="78"/>
      <c r="T9" s="78"/>
      <c r="U9" s="78"/>
      <c r="V9" s="78"/>
      <c r="W9" s="78"/>
      <c r="X9" s="78"/>
      <c r="Y9" s="78"/>
      <c r="Z9" s="78"/>
    </row>
    <row r="10" spans="1:26" ht="15.75" hidden="1" x14ac:dyDescent="0.25">
      <c r="A10" s="78" t="s">
        <v>21</v>
      </c>
      <c r="B10" s="78" t="str">
        <f>(TEXT(C4,"mmm 'yy"))</f>
        <v>Jun '18</v>
      </c>
      <c r="C10" s="78" t="str">
        <f>"6/1/2018..6/30/2018"</f>
        <v>6/1/2018..6/30/2018</v>
      </c>
      <c r="D10" s="91" t="s">
        <v>442</v>
      </c>
      <c r="L10" s="78"/>
      <c r="M10" s="91" t="s">
        <v>446</v>
      </c>
      <c r="N10" s="119"/>
      <c r="O10" s="119"/>
      <c r="P10" s="119"/>
      <c r="Q10" s="119"/>
      <c r="R10" s="119"/>
      <c r="S10" s="119"/>
      <c r="T10" s="119"/>
      <c r="Y10" s="78"/>
      <c r="Z10" s="78"/>
    </row>
    <row r="11" spans="1:26" hidden="1" x14ac:dyDescent="0.25">
      <c r="A11" s="78" t="s">
        <v>21</v>
      </c>
      <c r="B11" s="78" t="str">
        <f>"YTD" &amp; " " &amp; (TEXT(C3,"mmm 'yy"))</f>
        <v>YTD Jun '19</v>
      </c>
      <c r="C11" s="78" t="str">
        <f>"1/1/2019..6/12/2019"</f>
        <v>1/1/2019..6/12/2019</v>
      </c>
      <c r="D11" s="78"/>
      <c r="E11" s="78"/>
      <c r="F11" s="78"/>
      <c r="G11" s="78"/>
      <c r="H11" s="78"/>
      <c r="I11" s="78"/>
      <c r="J11" s="78"/>
      <c r="K11" s="78"/>
      <c r="L11" s="78"/>
      <c r="M11" s="78"/>
      <c r="N11" s="78"/>
      <c r="O11" s="78"/>
      <c r="P11" s="78"/>
      <c r="Q11" s="78"/>
      <c r="R11" s="78"/>
      <c r="S11" s="78"/>
      <c r="T11" s="78"/>
      <c r="U11" s="78"/>
      <c r="V11" s="78"/>
      <c r="W11" s="78"/>
      <c r="X11" s="78"/>
      <c r="Y11" s="78"/>
      <c r="Z11" s="78"/>
    </row>
    <row r="12" spans="1:26" hidden="1" x14ac:dyDescent="0.25">
      <c r="A12" s="78" t="s">
        <v>21</v>
      </c>
      <c r="B12" s="78" t="str">
        <f>"YTD" &amp; " " &amp; (TEXT(C4,"mmm 'yy"))</f>
        <v>YTD Jun '18</v>
      </c>
      <c r="C12" s="78" t="str">
        <f>"1/1/2018..6/12/2018"</f>
        <v>1/1/2018..6/12/2018</v>
      </c>
      <c r="D12" s="78"/>
      <c r="E12" s="78"/>
      <c r="F12" s="78"/>
      <c r="G12" s="78"/>
      <c r="H12" s="78"/>
      <c r="I12" s="78"/>
      <c r="J12" s="78"/>
      <c r="K12" s="78"/>
      <c r="L12" s="78"/>
      <c r="M12" s="78"/>
      <c r="N12" s="78"/>
      <c r="O12" s="78"/>
      <c r="P12" s="78"/>
      <c r="Q12" s="78"/>
      <c r="R12" s="78"/>
      <c r="S12" s="78"/>
      <c r="T12" s="78"/>
      <c r="U12" s="78"/>
      <c r="V12" s="78"/>
      <c r="W12" s="78"/>
      <c r="X12" s="78"/>
      <c r="Y12" s="78"/>
      <c r="Z12" s="78"/>
    </row>
    <row r="13" spans="1:26" hidden="1" x14ac:dyDescent="0.25">
      <c r="A13" s="78" t="s">
        <v>21</v>
      </c>
      <c r="B13" s="78" t="str">
        <f>"FY"&amp;" "&amp;YEAR(C3)</f>
        <v>FY 2019</v>
      </c>
      <c r="C13" s="78" t="str">
        <f>"1/1/2019..12/31/2019"</f>
        <v>1/1/2019..12/31/2019</v>
      </c>
      <c r="D13" s="80"/>
      <c r="E13" s="80"/>
      <c r="F13" s="80"/>
      <c r="G13" s="80"/>
      <c r="H13" s="80"/>
      <c r="I13" s="80"/>
      <c r="J13" s="80"/>
      <c r="K13" s="80"/>
      <c r="L13" s="80"/>
      <c r="M13" s="80"/>
      <c r="N13" s="80"/>
      <c r="O13" s="80"/>
      <c r="P13" s="80"/>
      <c r="Q13" s="80"/>
      <c r="R13" s="80"/>
      <c r="S13" s="78"/>
      <c r="T13" s="78"/>
      <c r="U13" s="78"/>
      <c r="V13" s="78"/>
      <c r="W13" s="78"/>
      <c r="X13" s="78"/>
      <c r="Y13" s="78"/>
      <c r="Z13" s="78"/>
    </row>
    <row r="14" spans="1:26" hidden="1" x14ac:dyDescent="0.25">
      <c r="A14" s="78" t="s">
        <v>21</v>
      </c>
      <c r="B14" s="78" t="str">
        <f xml:space="preserve"> "FY" &amp; " " &amp; YEAR(C4)</f>
        <v>FY 2018</v>
      </c>
      <c r="C14" s="78" t="str">
        <f>"1/1/2018..12/31/2018"</f>
        <v>1/1/2018..12/31/2018</v>
      </c>
      <c r="D14" s="78"/>
      <c r="E14" s="80"/>
      <c r="F14" s="80"/>
      <c r="G14" s="80"/>
      <c r="H14" s="80"/>
      <c r="I14" s="80"/>
      <c r="J14" s="80"/>
      <c r="K14" s="80"/>
      <c r="L14" s="80"/>
      <c r="M14" s="80"/>
      <c r="N14" s="80"/>
      <c r="O14" s="80"/>
      <c r="P14" s="80"/>
      <c r="Q14" s="80"/>
      <c r="R14" s="80"/>
      <c r="S14" s="78"/>
      <c r="T14" s="78"/>
      <c r="U14" s="78"/>
      <c r="V14" s="78"/>
      <c r="W14" s="78"/>
      <c r="X14" s="78"/>
      <c r="Y14" s="78"/>
      <c r="Z14" s="78"/>
    </row>
    <row r="15" spans="1:26" x14ac:dyDescent="0.25">
      <c r="A15" s="78"/>
      <c r="B15" s="78"/>
      <c r="C15" s="78"/>
      <c r="D15" s="78"/>
      <c r="E15" s="3"/>
      <c r="F15" s="3"/>
      <c r="G15" s="3"/>
      <c r="H15" s="3"/>
      <c r="I15" s="3"/>
      <c r="J15" s="3"/>
      <c r="K15" s="3"/>
      <c r="L15" s="3"/>
      <c r="M15" s="3"/>
      <c r="N15" s="3"/>
      <c r="O15" s="3"/>
      <c r="P15" s="3"/>
      <c r="Q15" s="3"/>
      <c r="R15" s="3"/>
      <c r="S15" s="3"/>
      <c r="T15" s="3"/>
      <c r="U15" s="3"/>
      <c r="V15" s="3"/>
      <c r="W15" s="3"/>
      <c r="X15" s="3"/>
      <c r="Y15" s="3"/>
      <c r="Z15" s="3"/>
    </row>
    <row r="16" spans="1:26" ht="21" x14ac:dyDescent="0.35">
      <c r="A16" s="78"/>
      <c r="B16" s="78" t="s">
        <v>67</v>
      </c>
      <c r="C16" s="81">
        <f>_xlfn.DAYS(C3,C5)+1</f>
        <v>163</v>
      </c>
      <c r="D16" s="78"/>
      <c r="E16" s="3"/>
      <c r="F16" s="3"/>
      <c r="G16" s="120" t="s">
        <v>473</v>
      </c>
      <c r="H16" s="120"/>
      <c r="I16" s="120"/>
      <c r="J16" s="120"/>
      <c r="K16" s="120"/>
      <c r="L16" s="120"/>
      <c r="M16" s="120"/>
      <c r="N16" s="120"/>
      <c r="O16" s="120"/>
      <c r="P16" s="120"/>
      <c r="Q16" s="3"/>
      <c r="R16" s="3"/>
      <c r="S16" s="3"/>
      <c r="T16" s="3"/>
      <c r="U16" s="3"/>
      <c r="V16" s="3"/>
      <c r="W16" s="3"/>
      <c r="X16" s="3"/>
      <c r="Y16" s="3"/>
      <c r="Z16" s="3"/>
    </row>
    <row r="17" spans="1:26" ht="21" x14ac:dyDescent="0.35">
      <c r="A17" s="78"/>
      <c r="B17" s="78" t="s">
        <v>66</v>
      </c>
      <c r="C17" s="81">
        <f>_xlfn.DAYS(C8,C5)+1</f>
        <v>365</v>
      </c>
      <c r="D17" s="78"/>
      <c r="E17" s="3"/>
      <c r="F17" s="3"/>
      <c r="G17" s="121" t="str">
        <f>"MANAGEMENT REPORT For" &amp; " " &amp; TEXT($C$3, "mmm 'YY")</f>
        <v>MANAGEMENT REPORT For Jun '19</v>
      </c>
      <c r="H17" s="121"/>
      <c r="I17" s="121"/>
      <c r="J17" s="121"/>
      <c r="K17" s="121"/>
      <c r="L17" s="121"/>
      <c r="M17" s="121"/>
      <c r="N17" s="121"/>
      <c r="O17" s="121"/>
      <c r="P17" s="121"/>
      <c r="Q17" s="3"/>
      <c r="R17" s="3"/>
      <c r="S17" s="3"/>
      <c r="T17" s="3"/>
      <c r="U17" s="3"/>
      <c r="V17" s="3"/>
      <c r="W17" s="3"/>
      <c r="X17" s="3"/>
      <c r="Y17" s="3"/>
      <c r="Z17" s="3"/>
    </row>
    <row r="18" spans="1:26" ht="21" x14ac:dyDescent="0.35">
      <c r="A18" s="78"/>
      <c r="B18" s="78"/>
      <c r="C18" s="82">
        <f>C16/C17</f>
        <v>0.44657534246575342</v>
      </c>
      <c r="D18" s="78"/>
      <c r="E18" s="3"/>
      <c r="F18" s="3"/>
      <c r="G18" s="59"/>
      <c r="H18" s="120" t="s">
        <v>31</v>
      </c>
      <c r="I18" s="120"/>
      <c r="J18" s="120"/>
      <c r="K18" s="120"/>
      <c r="L18" s="120"/>
      <c r="M18" s="120"/>
      <c r="N18" s="120"/>
      <c r="O18" s="120"/>
      <c r="P18" s="59"/>
      <c r="Q18" s="3"/>
      <c r="R18" s="3"/>
      <c r="S18" s="3"/>
      <c r="T18" s="3"/>
      <c r="U18" s="3"/>
      <c r="V18" s="3"/>
      <c r="W18" s="3"/>
      <c r="X18" s="3"/>
      <c r="Y18" s="3"/>
      <c r="Z18" s="3"/>
    </row>
    <row r="19" spans="1:26" ht="7.5" customHeight="1" thickBot="1" x14ac:dyDescent="0.3">
      <c r="A19" s="78"/>
      <c r="B19" s="78"/>
      <c r="C19" s="78"/>
      <c r="D19" s="78"/>
      <c r="E19" s="3"/>
      <c r="F19" s="2"/>
      <c r="G19" s="2"/>
      <c r="H19" s="2"/>
      <c r="I19" s="2"/>
      <c r="J19" s="2"/>
      <c r="K19" s="2"/>
      <c r="L19" s="2"/>
      <c r="M19" s="2"/>
      <c r="N19" s="2"/>
      <c r="O19" s="2"/>
      <c r="P19" s="2"/>
      <c r="Q19" s="2"/>
      <c r="R19" s="2"/>
      <c r="S19" s="3"/>
      <c r="T19" s="3"/>
      <c r="U19" s="3"/>
      <c r="V19" s="3"/>
      <c r="W19" s="3"/>
      <c r="X19" s="3"/>
      <c r="Y19" s="3"/>
      <c r="Z19" s="3"/>
    </row>
    <row r="20" spans="1:26" x14ac:dyDescent="0.25">
      <c r="A20" s="78"/>
      <c r="B20" s="78" t="s">
        <v>4</v>
      </c>
      <c r="C20" s="79" t="str">
        <f>Options!$D$6</f>
        <v>2019</v>
      </c>
      <c r="D20" s="80"/>
      <c r="E20" s="3"/>
      <c r="F20" s="122" t="s">
        <v>0</v>
      </c>
      <c r="G20" s="123"/>
      <c r="H20" s="123"/>
      <c r="I20" s="123"/>
      <c r="J20" s="123"/>
      <c r="K20" s="124"/>
      <c r="L20" s="2"/>
      <c r="M20" s="122" t="s">
        <v>11</v>
      </c>
      <c r="N20" s="123"/>
      <c r="O20" s="123"/>
      <c r="P20" s="123"/>
      <c r="Q20" s="123"/>
      <c r="R20" s="124"/>
      <c r="S20" s="3"/>
      <c r="T20" s="3"/>
      <c r="U20" s="3"/>
      <c r="V20" s="3"/>
      <c r="W20" s="3"/>
      <c r="X20" s="3"/>
      <c r="Y20" s="3"/>
      <c r="Z20" s="3"/>
    </row>
    <row r="21" spans="1:26" hidden="1" x14ac:dyDescent="0.25">
      <c r="A21" s="78" t="s">
        <v>102</v>
      </c>
      <c r="B21" s="78"/>
      <c r="C21" s="78"/>
      <c r="D21" s="83" t="s">
        <v>103</v>
      </c>
      <c r="E21" s="3"/>
      <c r="F21" s="75"/>
      <c r="G21" s="70">
        <f>$C$5</f>
        <v>43466</v>
      </c>
      <c r="H21" s="70">
        <f>$C$6</f>
        <v>43101</v>
      </c>
      <c r="I21" s="70">
        <f>$C$5</f>
        <v>43466</v>
      </c>
      <c r="J21" s="70">
        <f>$C$5</f>
        <v>43466</v>
      </c>
      <c r="K21" s="73">
        <f>$C$6</f>
        <v>43101</v>
      </c>
      <c r="L21" s="69"/>
      <c r="M21" s="72"/>
      <c r="N21" s="70">
        <f>G21</f>
        <v>43466</v>
      </c>
      <c r="O21" s="70">
        <f>H21</f>
        <v>43101</v>
      </c>
      <c r="P21" s="70">
        <f>I21</f>
        <v>43466</v>
      </c>
      <c r="Q21" s="70">
        <f>J21</f>
        <v>43466</v>
      </c>
      <c r="R21" s="73">
        <f>K21</f>
        <v>43101</v>
      </c>
      <c r="S21" s="3"/>
      <c r="T21" s="3"/>
      <c r="U21" s="3"/>
      <c r="V21" s="3"/>
      <c r="W21" s="3"/>
      <c r="X21" s="3"/>
      <c r="Y21" s="3"/>
      <c r="Z21" s="3"/>
    </row>
    <row r="22" spans="1:26" hidden="1" x14ac:dyDescent="0.25">
      <c r="A22" s="78" t="s">
        <v>102</v>
      </c>
      <c r="B22" s="78"/>
      <c r="C22" s="78"/>
      <c r="D22" s="83" t="s">
        <v>104</v>
      </c>
      <c r="E22" s="3"/>
      <c r="F22" s="75"/>
      <c r="G22" s="71" t="str">
        <f>$C$3</f>
        <v>6/12/2019</v>
      </c>
      <c r="H22" s="71">
        <f>$C$4</f>
        <v>43263</v>
      </c>
      <c r="I22" s="71">
        <f>$C$8</f>
        <v>43830</v>
      </c>
      <c r="J22" s="71">
        <f>$C$8</f>
        <v>43830</v>
      </c>
      <c r="K22" s="74">
        <f>$C$7</f>
        <v>43465</v>
      </c>
      <c r="L22" s="69"/>
      <c r="M22" s="72"/>
      <c r="N22" s="76" t="str">
        <f>G22</f>
        <v>6/12/2019</v>
      </c>
      <c r="O22" s="76">
        <f>H22</f>
        <v>43263</v>
      </c>
      <c r="P22" s="76">
        <f>I22</f>
        <v>43830</v>
      </c>
      <c r="Q22" s="76">
        <f>J22</f>
        <v>43830</v>
      </c>
      <c r="R22" s="77">
        <f>K22</f>
        <v>43465</v>
      </c>
      <c r="S22" s="3"/>
      <c r="T22" s="3"/>
      <c r="U22" s="3"/>
      <c r="V22" s="3"/>
      <c r="W22" s="3"/>
      <c r="X22" s="3"/>
      <c r="Y22" s="3"/>
      <c r="Z22" s="3"/>
    </row>
    <row r="23" spans="1:26" ht="15.75" thickBot="1" x14ac:dyDescent="0.3">
      <c r="A23" s="78"/>
      <c r="B23" s="78"/>
      <c r="C23" s="78"/>
      <c r="D23" s="83" t="s">
        <v>19</v>
      </c>
      <c r="E23" s="3"/>
      <c r="F23" s="4"/>
      <c r="G23" s="5" t="str">
        <f>"YTD" &amp; " " &amp; (TEXT(C3,"mmm 'yy"))</f>
        <v>YTD Jun '19</v>
      </c>
      <c r="H23" s="5" t="str">
        <f>"YTD" &amp; " " &amp; (TEXT(C4,"mmm 'yy"))</f>
        <v>YTD Jun '18</v>
      </c>
      <c r="I23" s="5" t="str">
        <f>"FY" &amp; " " &amp; YEAR(C3)</f>
        <v>FY 2019</v>
      </c>
      <c r="J23" s="5" t="str">
        <f>"FY"&amp;" "&amp;YEAR(C3)</f>
        <v>FY 2019</v>
      </c>
      <c r="K23" s="6" t="str">
        <f xml:space="preserve"> "FY" &amp; " " &amp; YEAR(C4)</f>
        <v>FY 2018</v>
      </c>
      <c r="L23" s="7"/>
      <c r="M23" s="4"/>
      <c r="N23" s="5" t="str">
        <f>G23</f>
        <v>YTD Jun '19</v>
      </c>
      <c r="O23" s="5" t="str">
        <f>H23</f>
        <v>YTD Jun '18</v>
      </c>
      <c r="P23" s="5" t="str">
        <f>I23</f>
        <v>FY 2019</v>
      </c>
      <c r="Q23" s="5" t="str">
        <f>J23</f>
        <v>FY 2019</v>
      </c>
      <c r="R23" s="6" t="str">
        <f>K23</f>
        <v>FY 2018</v>
      </c>
      <c r="S23" s="3"/>
      <c r="T23" s="3"/>
      <c r="U23" s="3"/>
      <c r="V23" s="3"/>
      <c r="W23" s="3"/>
      <c r="X23" s="3"/>
      <c r="Y23" s="3"/>
      <c r="Z23" s="3"/>
    </row>
    <row r="24" spans="1:26" ht="16.5" thickTop="1" thickBot="1" x14ac:dyDescent="0.3">
      <c r="A24" s="78"/>
      <c r="B24" s="78"/>
      <c r="C24" s="78"/>
      <c r="D24" s="80"/>
      <c r="E24" s="3"/>
      <c r="F24" s="4"/>
      <c r="G24" s="64" t="s">
        <v>2</v>
      </c>
      <c r="H24" s="5" t="s">
        <v>2</v>
      </c>
      <c r="I24" s="5" t="s">
        <v>3</v>
      </c>
      <c r="J24" s="5" t="s">
        <v>4</v>
      </c>
      <c r="K24" s="6" t="s">
        <v>2</v>
      </c>
      <c r="L24" s="7"/>
      <c r="M24" s="108" t="s">
        <v>14</v>
      </c>
      <c r="N24" s="107" t="s">
        <v>2</v>
      </c>
      <c r="O24" s="107" t="s">
        <v>2</v>
      </c>
      <c r="P24" s="107" t="s">
        <v>3</v>
      </c>
      <c r="Q24" s="107" t="s">
        <v>4</v>
      </c>
      <c r="R24" s="109" t="s">
        <v>2</v>
      </c>
      <c r="S24" s="3"/>
      <c r="T24" s="3"/>
      <c r="U24" s="3"/>
      <c r="V24" s="3"/>
      <c r="W24" s="3"/>
      <c r="X24" s="3"/>
      <c r="Y24" s="3"/>
      <c r="Z24" s="3"/>
    </row>
    <row r="25" spans="1:26" ht="12.75" customHeight="1" thickTop="1" x14ac:dyDescent="0.25">
      <c r="A25" s="78"/>
      <c r="B25" s="78"/>
      <c r="C25" s="78"/>
      <c r="D25" s="84">
        <v>44100</v>
      </c>
      <c r="E25" s="3"/>
      <c r="F25" s="63" t="str">
        <f>"Sales, Retail - North America"</f>
        <v>Sales, Retail - North America</v>
      </c>
      <c r="G25" s="11">
        <f>8915909.19</f>
        <v>8915909.1899999995</v>
      </c>
      <c r="H25" s="65">
        <f>5867818.75</f>
        <v>5867818.75</v>
      </c>
      <c r="I25" s="11">
        <f>G25/$C$18</f>
        <v>19965072.726073619</v>
      </c>
      <c r="J25" s="11">
        <f>17492725.65</f>
        <v>17492725.649999999</v>
      </c>
      <c r="K25" s="12">
        <f>14637260.25</f>
        <v>14637260.25</v>
      </c>
      <c r="L25" s="7"/>
      <c r="M25" s="13" t="s">
        <v>147</v>
      </c>
      <c r="N25" s="16">
        <f>G25+G27</f>
        <v>8467627.2199999988</v>
      </c>
      <c r="O25" s="16">
        <f>H25+H27</f>
        <v>5686825.79</v>
      </c>
      <c r="P25" s="16">
        <f>I25+I27</f>
        <v>18961251.136809815</v>
      </c>
      <c r="Q25" s="16">
        <f>J25+J27</f>
        <v>16646074.869999999</v>
      </c>
      <c r="R25" s="17">
        <f>K25+K27</f>
        <v>14134245.060000001</v>
      </c>
      <c r="S25" s="3"/>
      <c r="T25" s="3"/>
      <c r="U25" s="3"/>
      <c r="V25" s="3"/>
      <c r="W25" s="3"/>
      <c r="X25" s="3"/>
      <c r="Y25" s="3"/>
      <c r="Z25" s="3"/>
    </row>
    <row r="26" spans="1:26" ht="12.75" customHeight="1" thickBot="1" x14ac:dyDescent="0.3">
      <c r="A26" s="78"/>
      <c r="B26" s="78"/>
      <c r="C26" s="78"/>
      <c r="D26" s="84">
        <v>44200</v>
      </c>
      <c r="E26" s="3"/>
      <c r="F26" s="37" t="str">
        <f>"Sales, Retail - EU"</f>
        <v>Sales, Retail - EU</v>
      </c>
      <c r="G26" s="14">
        <f>3618940.46</f>
        <v>3618940.46</v>
      </c>
      <c r="H26" s="65">
        <f>2450006.36</f>
        <v>2450006.36</v>
      </c>
      <c r="I26" s="14">
        <f>G26/$C$18</f>
        <v>8103762.379754601</v>
      </c>
      <c r="J26" s="14">
        <f>7278161.61</f>
        <v>7278161.6100000003</v>
      </c>
      <c r="K26" s="15">
        <f>5763507.5</f>
        <v>5763507.5</v>
      </c>
      <c r="L26" s="7"/>
      <c r="M26" s="13" t="s">
        <v>148</v>
      </c>
      <c r="N26" s="16">
        <f>G26+G28</f>
        <v>3484367.89</v>
      </c>
      <c r="O26" s="16">
        <f>H26+H28</f>
        <v>2380292.7999999998</v>
      </c>
      <c r="P26" s="16">
        <f>I26+I28</f>
        <v>7802418.8947852757</v>
      </c>
      <c r="Q26" s="16">
        <f>J26+J28</f>
        <v>7049321.0800000001</v>
      </c>
      <c r="R26" s="17">
        <f>K26+K28</f>
        <v>5587754.4199999999</v>
      </c>
      <c r="S26" s="3"/>
      <c r="T26" s="3"/>
      <c r="U26" s="3"/>
      <c r="V26" s="3"/>
      <c r="W26" s="3"/>
      <c r="X26" s="3"/>
      <c r="Y26" s="3"/>
      <c r="Z26" s="3"/>
    </row>
    <row r="27" spans="1:26" ht="12.75" customHeight="1" thickTop="1" thickBot="1" x14ac:dyDescent="0.3">
      <c r="A27" s="78"/>
      <c r="B27" s="78"/>
      <c r="C27" s="78"/>
      <c r="D27" s="84">
        <v>45100</v>
      </c>
      <c r="E27" s="3"/>
      <c r="F27" s="37" t="str">
        <f>"Discounts, Retail - North Amer"</f>
        <v>Discounts, Retail - North Amer</v>
      </c>
      <c r="G27" s="14">
        <f>-448281.97</f>
        <v>-448281.97</v>
      </c>
      <c r="H27" s="65">
        <f>-180992.96</f>
        <v>-180992.96</v>
      </c>
      <c r="I27" s="14">
        <f>G27/$C$18</f>
        <v>-1003821.5892638037</v>
      </c>
      <c r="J27" s="14">
        <f>-846650.78</f>
        <v>-846650.78</v>
      </c>
      <c r="K27" s="15">
        <f>-503015.19</f>
        <v>-503015.19</v>
      </c>
      <c r="L27" s="7"/>
      <c r="M27" s="94" t="s">
        <v>14</v>
      </c>
      <c r="N27" s="95">
        <f>SUM(N25:N26)</f>
        <v>11951995.109999999</v>
      </c>
      <c r="O27" s="96">
        <f>SUM(O25:O26)</f>
        <v>8067118.5899999999</v>
      </c>
      <c r="P27" s="96">
        <f>SUM(P25:P26)</f>
        <v>26763670.031595089</v>
      </c>
      <c r="Q27" s="95">
        <f>SUM(Q25:Q26)</f>
        <v>23695395.949999999</v>
      </c>
      <c r="R27" s="97">
        <f>SUM(R25:R26)</f>
        <v>19721999.48</v>
      </c>
      <c r="S27" s="3"/>
      <c r="T27" s="3"/>
      <c r="U27" s="3"/>
      <c r="V27" s="3"/>
      <c r="W27" s="3"/>
      <c r="X27" s="3"/>
      <c r="Y27" s="3"/>
      <c r="Z27" s="3"/>
    </row>
    <row r="28" spans="1:26" ht="12.75" customHeight="1" thickBot="1" x14ac:dyDescent="0.3">
      <c r="A28" s="78"/>
      <c r="B28" s="78"/>
      <c r="C28" s="78"/>
      <c r="D28" s="84">
        <v>45200</v>
      </c>
      <c r="E28" s="3"/>
      <c r="F28" s="37" t="str">
        <f>"Discounts, Retail - EU"</f>
        <v>Discounts, Retail - EU</v>
      </c>
      <c r="G28" s="14">
        <f>-134572.57</f>
        <v>-134572.57</v>
      </c>
      <c r="H28" s="65">
        <f>-69713.56</f>
        <v>-69713.56</v>
      </c>
      <c r="I28" s="14">
        <f>G28/$C$18</f>
        <v>-301343.48496932519</v>
      </c>
      <c r="J28" s="14">
        <f>-228840.53</f>
        <v>-228840.53</v>
      </c>
      <c r="K28" s="15">
        <f>-175753.08</f>
        <v>-175753.08</v>
      </c>
      <c r="L28" s="7"/>
      <c r="M28" s="2"/>
      <c r="N28" s="2"/>
      <c r="O28" s="2"/>
      <c r="P28" s="2"/>
      <c r="Q28" s="2"/>
      <c r="R28" s="2"/>
      <c r="S28" s="3"/>
      <c r="T28" s="3"/>
      <c r="U28" s="3"/>
      <c r="V28" s="3"/>
      <c r="W28" s="3"/>
      <c r="X28" s="3"/>
      <c r="Y28" s="3"/>
      <c r="Z28" s="3"/>
    </row>
    <row r="29" spans="1:26" ht="12.75" customHeight="1" thickTop="1" thickBot="1" x14ac:dyDescent="0.3">
      <c r="A29" s="78"/>
      <c r="B29" s="78"/>
      <c r="C29" s="78"/>
      <c r="D29" s="80"/>
      <c r="E29" s="3"/>
      <c r="F29" s="93" t="s">
        <v>20</v>
      </c>
      <c r="G29" s="98">
        <f>SUM(G25:G28)</f>
        <v>11951995.109999998</v>
      </c>
      <c r="H29" s="99">
        <f>SUM(H25:H28)</f>
        <v>8067118.5899999999</v>
      </c>
      <c r="I29" s="98">
        <f>SUM(I25:I28)</f>
        <v>26763670.031595089</v>
      </c>
      <c r="J29" s="98">
        <f>SUM(J25:J28)</f>
        <v>23695395.949999996</v>
      </c>
      <c r="K29" s="100">
        <f>SUM(K25:K28)</f>
        <v>19721999.48</v>
      </c>
      <c r="L29" s="7"/>
      <c r="M29" s="111" t="s">
        <v>149</v>
      </c>
      <c r="N29" s="112" t="s">
        <v>2</v>
      </c>
      <c r="O29" s="112" t="s">
        <v>2</v>
      </c>
      <c r="P29" s="112" t="s">
        <v>3</v>
      </c>
      <c r="Q29" s="112" t="s">
        <v>4</v>
      </c>
      <c r="R29" s="113" t="s">
        <v>2</v>
      </c>
      <c r="S29" s="3"/>
      <c r="T29" s="3"/>
      <c r="U29" s="3"/>
      <c r="V29" s="3"/>
      <c r="W29" s="3"/>
      <c r="X29" s="3"/>
      <c r="Y29" s="3"/>
      <c r="Z29" s="3"/>
    </row>
    <row r="30" spans="1:26" ht="12.75" customHeight="1" thickTop="1" x14ac:dyDescent="0.25">
      <c r="A30" s="78"/>
      <c r="B30" s="78"/>
      <c r="C30" s="78"/>
      <c r="D30" s="80">
        <v>52100</v>
      </c>
      <c r="E30" s="3"/>
      <c r="F30" s="13" t="str">
        <f>"COGS, Retail - North America"</f>
        <v>COGS, Retail - North America</v>
      </c>
      <c r="G30" s="11">
        <f>-5254000.08</f>
        <v>-5254000.08</v>
      </c>
      <c r="H30" s="65">
        <f>-3320174.64</f>
        <v>-3320174.64</v>
      </c>
      <c r="I30" s="11">
        <f>G30/$C$18</f>
        <v>-11765092.203680981</v>
      </c>
      <c r="J30" s="11">
        <f>-10596530.31</f>
        <v>-10596530.310000001</v>
      </c>
      <c r="K30" s="12">
        <f>-8442650.53</f>
        <v>-8442650.5299999993</v>
      </c>
      <c r="L30" s="7"/>
      <c r="M30" s="13" t="s">
        <v>147</v>
      </c>
      <c r="N30" s="16">
        <f>N25+G30</f>
        <v>3213627.1399999987</v>
      </c>
      <c r="O30" s="16">
        <f>O25+H30</f>
        <v>2366651.15</v>
      </c>
      <c r="P30" s="16">
        <f>P25+I30</f>
        <v>7196158.9331288338</v>
      </c>
      <c r="Q30" s="16">
        <f>Q25+J30</f>
        <v>6049544.5599999987</v>
      </c>
      <c r="R30" s="17">
        <f>R25+K30</f>
        <v>5691594.5300000012</v>
      </c>
      <c r="S30" s="3"/>
      <c r="T30" s="3"/>
      <c r="U30" s="3"/>
      <c r="V30" s="3"/>
      <c r="W30" s="3"/>
      <c r="X30" s="3"/>
      <c r="Y30" s="3"/>
      <c r="Z30" s="3"/>
    </row>
    <row r="31" spans="1:26" ht="12.75" customHeight="1" thickBot="1" x14ac:dyDescent="0.3">
      <c r="A31" s="78"/>
      <c r="B31" s="78"/>
      <c r="C31" s="78"/>
      <c r="D31" s="80">
        <v>52300</v>
      </c>
      <c r="E31" s="3"/>
      <c r="F31" s="13" t="str">
        <f>"COGS, Retail - EU"</f>
        <v>COGS, Retail - EU</v>
      </c>
      <c r="G31" s="14">
        <f>-1517467.03</f>
        <v>-1517467.03</v>
      </c>
      <c r="H31" s="65">
        <f>-1120357.43</f>
        <v>-1120357.43</v>
      </c>
      <c r="I31" s="14">
        <f>G31/$C$18</f>
        <v>-3398008.9935582825</v>
      </c>
      <c r="J31" s="14">
        <f>-3137143.89</f>
        <v>-3137143.89</v>
      </c>
      <c r="K31" s="15">
        <f>-2530680.14</f>
        <v>-2530680.14</v>
      </c>
      <c r="L31" s="7"/>
      <c r="M31" s="13" t="s">
        <v>148</v>
      </c>
      <c r="N31" s="16">
        <f>N26+G31</f>
        <v>1966900.86</v>
      </c>
      <c r="O31" s="16">
        <f>O26+H31</f>
        <v>1259935.3699999999</v>
      </c>
      <c r="P31" s="16">
        <f>P26+I31</f>
        <v>4404409.9012269937</v>
      </c>
      <c r="Q31" s="16">
        <f>Q26+J31</f>
        <v>3912177.19</v>
      </c>
      <c r="R31" s="17">
        <f>R26+K31</f>
        <v>3057074.28</v>
      </c>
      <c r="S31" s="3"/>
      <c r="T31" s="3"/>
      <c r="U31" s="3"/>
      <c r="V31" s="3"/>
      <c r="W31" s="3"/>
      <c r="X31" s="3"/>
      <c r="Y31" s="3"/>
      <c r="Z31" s="3"/>
    </row>
    <row r="32" spans="1:26" ht="12.75" customHeight="1" thickTop="1" thickBot="1" x14ac:dyDescent="0.3">
      <c r="A32" s="78"/>
      <c r="B32" s="78"/>
      <c r="C32" s="78"/>
      <c r="D32" s="80"/>
      <c r="E32" s="3"/>
      <c r="F32" s="93" t="s">
        <v>22</v>
      </c>
      <c r="G32" s="99">
        <f>SUM(G30:G31)</f>
        <v>-6771467.1100000003</v>
      </c>
      <c r="H32" s="99">
        <f>SUM(H30:H31)</f>
        <v>-4440532.07</v>
      </c>
      <c r="I32" s="98">
        <f>SUM(I30:I31)</f>
        <v>-15163101.197239263</v>
      </c>
      <c r="J32" s="99">
        <f>SUM(J30:J31)</f>
        <v>-13733674.200000001</v>
      </c>
      <c r="K32" s="101">
        <f>SUM(K30:K31)</f>
        <v>-10973330.67</v>
      </c>
      <c r="L32" s="18"/>
      <c r="M32" s="94" t="s">
        <v>149</v>
      </c>
      <c r="N32" s="95">
        <f>SUM(N30:N31)</f>
        <v>5180527.9999999991</v>
      </c>
      <c r="O32" s="96">
        <f>SUM(O30:O31)</f>
        <v>3626586.5199999996</v>
      </c>
      <c r="P32" s="96">
        <f>SUM(P30:P31)</f>
        <v>11600568.834355827</v>
      </c>
      <c r="Q32" s="95">
        <f>SUM(Q30:Q31)</f>
        <v>9961721.7499999981</v>
      </c>
      <c r="R32" s="97">
        <f>SUM(R30:R31)</f>
        <v>8748668.8100000005</v>
      </c>
      <c r="S32" s="3"/>
      <c r="T32" s="3"/>
      <c r="U32" s="3"/>
      <c r="V32" s="3"/>
      <c r="W32" s="3"/>
      <c r="X32" s="3"/>
      <c r="Y32" s="3"/>
      <c r="Z32" s="3"/>
    </row>
    <row r="33" spans="1:26" ht="12.75" customHeight="1" thickTop="1" thickBot="1" x14ac:dyDescent="0.3">
      <c r="A33" s="78"/>
      <c r="B33" s="78"/>
      <c r="C33" s="78"/>
      <c r="D33" s="80"/>
      <c r="E33" s="3"/>
      <c r="F33" s="21" t="s">
        <v>6</v>
      </c>
      <c r="G33" s="67">
        <f>G29+G32</f>
        <v>5180527.9999999972</v>
      </c>
      <c r="H33" s="22">
        <f>H29+H32</f>
        <v>3626586.5199999996</v>
      </c>
      <c r="I33" s="22">
        <f>I29+I32</f>
        <v>11600568.834355826</v>
      </c>
      <c r="J33" s="67">
        <f>J29+J32</f>
        <v>9961721.7499999944</v>
      </c>
      <c r="K33" s="68">
        <f>K29+K32</f>
        <v>8748668.8100000005</v>
      </c>
      <c r="L33" s="18"/>
      <c r="M33" s="3"/>
      <c r="N33" s="20"/>
      <c r="O33" s="20"/>
      <c r="P33" s="20"/>
      <c r="Q33" s="20"/>
      <c r="R33" s="20"/>
      <c r="S33" s="3"/>
      <c r="T33" s="3"/>
      <c r="U33" s="3"/>
      <c r="V33" s="3"/>
      <c r="W33" s="3"/>
      <c r="X33" s="3"/>
      <c r="Y33" s="3"/>
      <c r="Z33" s="3"/>
    </row>
    <row r="34" spans="1:26" ht="15.75" thickTop="1" x14ac:dyDescent="0.25">
      <c r="A34" s="78"/>
      <c r="B34" s="78"/>
      <c r="C34" s="78"/>
      <c r="D34" s="80">
        <v>61400</v>
      </c>
      <c r="E34" s="3"/>
      <c r="F34" s="66" t="str">
        <f>"Total Selling Expenses"</f>
        <v>Total Selling Expenses</v>
      </c>
      <c r="G34" s="23">
        <f>-917393.69</f>
        <v>-917393.69</v>
      </c>
      <c r="H34" s="23">
        <f>-725064.45</f>
        <v>-725064.45</v>
      </c>
      <c r="I34" s="23">
        <f>G34/$C$18</f>
        <v>-2054286.4837423312</v>
      </c>
      <c r="J34" s="23">
        <f>-1939498.21</f>
        <v>-1939498.21</v>
      </c>
      <c r="K34" s="24">
        <f>-1581371.32</f>
        <v>-1581371.32</v>
      </c>
      <c r="L34" s="18"/>
      <c r="M34" s="3"/>
      <c r="N34" s="20"/>
      <c r="O34" s="20"/>
      <c r="P34" s="20"/>
      <c r="Q34" s="20"/>
      <c r="R34" s="20"/>
      <c r="S34" s="3"/>
      <c r="T34" s="3"/>
      <c r="U34" s="3"/>
      <c r="V34" s="3"/>
      <c r="W34" s="3"/>
      <c r="X34" s="3"/>
      <c r="Y34" s="3"/>
      <c r="Z34" s="3"/>
    </row>
    <row r="35" spans="1:26" ht="12.75" customHeight="1" x14ac:dyDescent="0.25">
      <c r="A35" s="78"/>
      <c r="B35" s="78"/>
      <c r="C35" s="78"/>
      <c r="D35" s="80">
        <v>62950</v>
      </c>
      <c r="E35" s="3"/>
      <c r="F35" s="37" t="str">
        <f>"Total Personnel Expenses"</f>
        <v>Total Personnel Expenses</v>
      </c>
      <c r="G35" s="14">
        <f>-4398117.55</f>
        <v>-4398117.55</v>
      </c>
      <c r="H35" s="14">
        <f>-2902910.36</f>
        <v>-2902910.36</v>
      </c>
      <c r="I35" s="14">
        <f>G35/$C$18</f>
        <v>-9848545.4340490792</v>
      </c>
      <c r="J35" s="14">
        <f>-7755176.03</f>
        <v>-7755176.0300000003</v>
      </c>
      <c r="K35" s="15">
        <f>-6502602.44</f>
        <v>-6502602.4400000004</v>
      </c>
      <c r="L35" s="18"/>
      <c r="M35" s="3"/>
      <c r="N35" s="20"/>
      <c r="O35" s="20"/>
      <c r="P35" s="20"/>
      <c r="Q35" s="20"/>
      <c r="R35" s="20"/>
      <c r="S35" s="3"/>
      <c r="T35" s="3"/>
      <c r="U35" s="3"/>
      <c r="V35" s="3"/>
      <c r="W35" s="3"/>
      <c r="X35" s="3"/>
      <c r="Y35" s="3"/>
      <c r="Z35" s="3"/>
    </row>
    <row r="36" spans="1:26" ht="12.75" customHeight="1" x14ac:dyDescent="0.25">
      <c r="A36" s="78"/>
      <c r="B36" s="78"/>
      <c r="C36" s="78"/>
      <c r="D36" s="85">
        <v>64400</v>
      </c>
      <c r="E36" s="3"/>
      <c r="F36" s="37" t="str">
        <f>"Total Computer Expenses"</f>
        <v>Total Computer Expenses</v>
      </c>
      <c r="G36" s="14">
        <f>-21098.3</f>
        <v>-21098.3</v>
      </c>
      <c r="H36" s="14">
        <f>-23423.83</f>
        <v>-23423.83</v>
      </c>
      <c r="I36" s="14">
        <f>G36/$C$18</f>
        <v>-47244.659509202451</v>
      </c>
      <c r="J36" s="14">
        <f>-47206.82</f>
        <v>-47206.82</v>
      </c>
      <c r="K36" s="15">
        <f>-49969.72</f>
        <v>-49969.72</v>
      </c>
      <c r="L36" s="18"/>
      <c r="M36" s="3"/>
      <c r="N36" s="20"/>
      <c r="O36" s="20"/>
      <c r="P36" s="20"/>
      <c r="Q36" s="20"/>
      <c r="R36" s="20"/>
      <c r="S36" s="3"/>
      <c r="T36" s="3"/>
      <c r="U36" s="3"/>
      <c r="V36" s="3"/>
      <c r="W36" s="3"/>
      <c r="X36" s="3"/>
      <c r="Y36" s="3"/>
      <c r="Z36" s="3"/>
    </row>
    <row r="37" spans="1:26" ht="12.75" customHeight="1" x14ac:dyDescent="0.25">
      <c r="A37" s="78"/>
      <c r="B37" s="78"/>
      <c r="C37" s="78"/>
      <c r="D37" s="85">
        <v>65400</v>
      </c>
      <c r="E37" s="3"/>
      <c r="F37" s="37" t="str">
        <f>"Total Bldg. Maint. Expenses"</f>
        <v>Total Bldg. Maint. Expenses</v>
      </c>
      <c r="G37" s="14">
        <f>-25035.35</f>
        <v>-25035.35</v>
      </c>
      <c r="H37" s="14">
        <f>-27285.88</f>
        <v>-27285.88</v>
      </c>
      <c r="I37" s="14">
        <f>G37/$C$18</f>
        <v>-56060.753067484657</v>
      </c>
      <c r="J37" s="14">
        <f>-55062.59</f>
        <v>-55062.59</v>
      </c>
      <c r="K37" s="15">
        <f>-60500.24</f>
        <v>-60500.24</v>
      </c>
      <c r="L37" s="18"/>
      <c r="M37" s="3"/>
      <c r="N37" s="20"/>
      <c r="O37" s="20"/>
      <c r="P37" s="20"/>
      <c r="Q37" s="20"/>
      <c r="R37" s="20"/>
      <c r="S37" s="3"/>
      <c r="T37" s="3"/>
      <c r="U37" s="3"/>
      <c r="V37" s="3"/>
      <c r="W37" s="3"/>
      <c r="X37" s="3"/>
      <c r="Y37" s="3"/>
      <c r="Z37" s="3"/>
    </row>
    <row r="38" spans="1:26" ht="12.75" customHeight="1" x14ac:dyDescent="0.25">
      <c r="A38" s="78"/>
      <c r="B38" s="78"/>
      <c r="C38" s="78"/>
      <c r="D38" s="85">
        <v>65900</v>
      </c>
      <c r="E38" s="3"/>
      <c r="F38" s="37" t="str">
        <f>"Total Administrative Expenses"</f>
        <v>Total Administrative Expenses</v>
      </c>
      <c r="G38" s="14">
        <f>-15630.96</f>
        <v>-15630.96</v>
      </c>
      <c r="H38" s="14">
        <f>-15017.47</f>
        <v>-15017.47</v>
      </c>
      <c r="I38" s="14">
        <f>G38/$C$18</f>
        <v>-35001.842944785276</v>
      </c>
      <c r="J38" s="14">
        <f>-34528.88</f>
        <v>-34528.879999999997</v>
      </c>
      <c r="K38" s="15">
        <f>-36122.44</f>
        <v>-36122.44</v>
      </c>
      <c r="L38" s="18"/>
      <c r="M38" s="3"/>
      <c r="N38" s="20"/>
      <c r="O38" s="20"/>
      <c r="P38" s="20"/>
      <c r="Q38" s="20"/>
      <c r="R38" s="20"/>
      <c r="S38" s="3"/>
      <c r="T38" s="3"/>
      <c r="U38" s="3"/>
      <c r="V38" s="3"/>
      <c r="W38" s="3"/>
      <c r="X38" s="3"/>
      <c r="Y38" s="3"/>
      <c r="Z38" s="3"/>
    </row>
    <row r="39" spans="1:26" ht="12.75" customHeight="1" x14ac:dyDescent="0.25">
      <c r="A39" s="78"/>
      <c r="B39" s="78"/>
      <c r="C39" s="78"/>
      <c r="D39" s="85">
        <v>66400</v>
      </c>
      <c r="E39" s="3"/>
      <c r="F39" s="37" t="str">
        <f>"Total Fixed Asset Depreciation"</f>
        <v>Total Fixed Asset Depreciation</v>
      </c>
      <c r="G39" s="14">
        <f>0</f>
        <v>0</v>
      </c>
      <c r="H39" s="14">
        <f>0</f>
        <v>0</v>
      </c>
      <c r="I39" s="14">
        <f>G39/$C$18</f>
        <v>0</v>
      </c>
      <c r="J39" s="14">
        <f>0</f>
        <v>0</v>
      </c>
      <c r="K39" s="15">
        <f>0</f>
        <v>0</v>
      </c>
      <c r="L39" s="2"/>
      <c r="M39" s="3"/>
      <c r="N39" s="20"/>
      <c r="O39" s="20"/>
      <c r="P39" s="20"/>
      <c r="Q39" s="20"/>
      <c r="R39" s="20"/>
      <c r="S39" s="3"/>
      <c r="T39" s="3"/>
      <c r="U39" s="3"/>
      <c r="V39" s="3"/>
      <c r="W39" s="3"/>
      <c r="X39" s="3"/>
      <c r="Y39" s="3"/>
      <c r="Z39" s="3"/>
    </row>
    <row r="40" spans="1:26" ht="12.75" customHeight="1" thickBot="1" x14ac:dyDescent="0.3">
      <c r="A40" s="78"/>
      <c r="B40" s="78"/>
      <c r="C40" s="78"/>
      <c r="D40" s="85">
        <v>67600</v>
      </c>
      <c r="E40" s="3"/>
      <c r="F40" s="37" t="str">
        <f>"Other Operating Exp., Total"</f>
        <v>Other Operating Exp., Total</v>
      </c>
      <c r="G40" s="14">
        <f>0</f>
        <v>0</v>
      </c>
      <c r="H40" s="14">
        <f>0</f>
        <v>0</v>
      </c>
      <c r="I40" s="14">
        <f>G40/$C$18</f>
        <v>0</v>
      </c>
      <c r="J40" s="14">
        <f>0</f>
        <v>0</v>
      </c>
      <c r="K40" s="15">
        <f>0</f>
        <v>0</v>
      </c>
      <c r="L40" s="2"/>
      <c r="M40" s="3"/>
      <c r="N40" s="20"/>
      <c r="O40" s="20"/>
      <c r="P40" s="20"/>
      <c r="Q40" s="20"/>
      <c r="R40" s="20"/>
      <c r="S40" s="3"/>
      <c r="T40" s="3"/>
      <c r="U40" s="3"/>
      <c r="V40" s="3"/>
      <c r="W40" s="3"/>
      <c r="X40" s="3"/>
      <c r="Y40" s="3"/>
      <c r="Z40" s="3"/>
    </row>
    <row r="41" spans="1:26" ht="12.75" customHeight="1" thickTop="1" thickBot="1" x14ac:dyDescent="0.3">
      <c r="A41" s="78"/>
      <c r="B41" s="78"/>
      <c r="C41" s="78"/>
      <c r="D41" s="85"/>
      <c r="E41" s="3"/>
      <c r="F41" s="93" t="s">
        <v>23</v>
      </c>
      <c r="G41" s="98">
        <f>SUM(G34:G40)</f>
        <v>-5377275.8499999996</v>
      </c>
      <c r="H41" s="102">
        <f>SUM(H34:H40)</f>
        <v>-3693701.9899999998</v>
      </c>
      <c r="I41" s="98">
        <f>SUM(I34:I40)</f>
        <v>-12041139.173312884</v>
      </c>
      <c r="J41" s="98">
        <f>SUM(J34:J40)</f>
        <v>-9831472.5300000012</v>
      </c>
      <c r="K41" s="100">
        <f>SUM(K34:K40)</f>
        <v>-8230566.1600000011</v>
      </c>
      <c r="L41" s="2"/>
      <c r="M41" s="3"/>
      <c r="N41" s="20"/>
      <c r="O41" s="20"/>
      <c r="P41" s="20"/>
      <c r="Q41" s="20"/>
      <c r="R41" s="20"/>
      <c r="S41" s="3"/>
      <c r="T41" s="3"/>
      <c r="U41" s="3"/>
      <c r="V41" s="3"/>
      <c r="W41" s="3"/>
      <c r="X41" s="3"/>
      <c r="Y41" s="3"/>
      <c r="Z41" s="3"/>
    </row>
    <row r="42" spans="1:26" ht="12.75" customHeight="1" thickTop="1" thickBot="1" x14ac:dyDescent="0.3">
      <c r="A42" s="78"/>
      <c r="B42" s="78"/>
      <c r="C42" s="78"/>
      <c r="D42" s="80"/>
      <c r="E42" s="3"/>
      <c r="F42" s="110" t="s">
        <v>8</v>
      </c>
      <c r="G42" s="114">
        <f>G33+G41</f>
        <v>-196747.85000000242</v>
      </c>
      <c r="H42" s="114">
        <f>H33+H41</f>
        <v>-67115.470000000205</v>
      </c>
      <c r="I42" s="114">
        <f>G42/$C$18</f>
        <v>-440570.33895706065</v>
      </c>
      <c r="J42" s="114">
        <f>J33+J41</f>
        <v>130249.21999999322</v>
      </c>
      <c r="K42" s="115">
        <f>K33+K41</f>
        <v>518102.64999999944</v>
      </c>
      <c r="L42" s="2"/>
      <c r="M42" s="3"/>
      <c r="N42" s="20"/>
      <c r="O42" s="20"/>
      <c r="P42" s="20"/>
      <c r="Q42" s="20"/>
      <c r="R42" s="20"/>
      <c r="S42" s="3"/>
      <c r="T42" s="3"/>
      <c r="U42" s="3"/>
      <c r="V42" s="3"/>
      <c r="W42" s="3"/>
      <c r="X42" s="3"/>
      <c r="Y42" s="3"/>
      <c r="Z42" s="3"/>
    </row>
    <row r="43" spans="1:26" ht="12.75" customHeight="1" x14ac:dyDescent="0.25">
      <c r="A43" s="78"/>
      <c r="B43" s="78"/>
      <c r="C43" s="78"/>
      <c r="D43" s="85">
        <v>79950</v>
      </c>
      <c r="E43" s="3"/>
      <c r="F43" s="37" t="str">
        <f>"Total Interest Income"</f>
        <v>Total Interest Income</v>
      </c>
      <c r="G43" s="14">
        <f>-0.01</f>
        <v>-0.01</v>
      </c>
      <c r="H43" s="14">
        <f>-0.02</f>
        <v>-0.02</v>
      </c>
      <c r="I43" s="14">
        <f>G43/$C$18</f>
        <v>-2.2392638036809815E-2</v>
      </c>
      <c r="J43" s="14">
        <f>0.02</f>
        <v>0.02</v>
      </c>
      <c r="K43" s="15">
        <f>-0.01</f>
        <v>-0.01</v>
      </c>
      <c r="L43" s="2"/>
      <c r="M43" s="3"/>
      <c r="N43" s="20"/>
      <c r="O43" s="20"/>
      <c r="P43" s="20"/>
      <c r="Q43" s="20"/>
      <c r="R43" s="20"/>
      <c r="S43" s="3"/>
      <c r="T43" s="3"/>
      <c r="U43" s="3"/>
      <c r="V43" s="3"/>
      <c r="W43" s="3"/>
      <c r="X43" s="3"/>
      <c r="Y43" s="3"/>
      <c r="Z43" s="3"/>
    </row>
    <row r="44" spans="1:26" ht="12.75" customHeight="1" x14ac:dyDescent="0.25">
      <c r="A44" s="78"/>
      <c r="B44" s="78"/>
      <c r="C44" s="78"/>
      <c r="D44" s="85">
        <v>81300</v>
      </c>
      <c r="E44" s="3"/>
      <c r="F44" s="37" t="str">
        <f>"Total Currency Gains and Losses"</f>
        <v>Total Currency Gains and Losses</v>
      </c>
      <c r="G44" s="14">
        <f>0</f>
        <v>0</v>
      </c>
      <c r="H44" s="14">
        <f>0</f>
        <v>0</v>
      </c>
      <c r="I44" s="14">
        <f>G44/$C$18</f>
        <v>0</v>
      </c>
      <c r="J44" s="14">
        <f>0</f>
        <v>0</v>
      </c>
      <c r="K44" s="15">
        <f>0</f>
        <v>0</v>
      </c>
      <c r="L44" s="2"/>
      <c r="M44" s="3"/>
      <c r="N44" s="20"/>
      <c r="O44" s="20"/>
      <c r="P44" s="20"/>
      <c r="Q44" s="20"/>
      <c r="R44" s="20"/>
      <c r="S44" s="3"/>
      <c r="T44" s="3"/>
      <c r="U44" s="3"/>
      <c r="V44" s="3"/>
      <c r="W44" s="3"/>
      <c r="X44" s="3"/>
      <c r="Y44" s="3"/>
      <c r="Z44" s="3"/>
    </row>
    <row r="45" spans="1:26" ht="12.75" customHeight="1" thickBot="1" x14ac:dyDescent="0.3">
      <c r="A45" s="78"/>
      <c r="B45" s="78"/>
      <c r="C45" s="78"/>
      <c r="D45" s="80">
        <v>84300</v>
      </c>
      <c r="E45" s="3"/>
      <c r="F45" s="37" t="str">
        <f>"Total Income Taxes"</f>
        <v>Total Income Taxes</v>
      </c>
      <c r="G45" s="14">
        <f>0</f>
        <v>0</v>
      </c>
      <c r="H45" s="14">
        <f>0</f>
        <v>0</v>
      </c>
      <c r="I45" s="14">
        <f>G45/$C$18</f>
        <v>0</v>
      </c>
      <c r="J45" s="14">
        <f>0</f>
        <v>0</v>
      </c>
      <c r="K45" s="15">
        <f>0</f>
        <v>0</v>
      </c>
      <c r="L45" s="2"/>
      <c r="M45" s="3"/>
      <c r="N45" s="20"/>
      <c r="O45" s="20"/>
      <c r="P45" s="20"/>
      <c r="Q45" s="20"/>
      <c r="R45" s="20"/>
      <c r="S45" s="3"/>
      <c r="T45" s="3"/>
      <c r="U45" s="3"/>
      <c r="V45" s="3"/>
      <c r="W45" s="3"/>
      <c r="X45" s="3"/>
      <c r="Y45" s="3"/>
      <c r="Z45" s="3"/>
    </row>
    <row r="46" spans="1:26" ht="12.75" customHeight="1" thickTop="1" thickBot="1" x14ac:dyDescent="0.3">
      <c r="A46" s="78"/>
      <c r="B46" s="78"/>
      <c r="C46" s="78"/>
      <c r="D46" s="80"/>
      <c r="E46" s="3"/>
      <c r="F46" s="25" t="s">
        <v>9</v>
      </c>
      <c r="G46" s="26">
        <f>SUM(G42:G45)</f>
        <v>-196747.86000000243</v>
      </c>
      <c r="H46" s="26">
        <f>SUM(H42:H45)</f>
        <v>-67115.490000000209</v>
      </c>
      <c r="I46" s="26">
        <f>SUM(I42:I45)</f>
        <v>-440570.36134969868</v>
      </c>
      <c r="J46" s="26">
        <f>SUM(J42:J45)</f>
        <v>130249.23999999322</v>
      </c>
      <c r="K46" s="27">
        <f>SUM(K42:K45)</f>
        <v>518102.63999999943</v>
      </c>
      <c r="L46" s="2"/>
      <c r="M46" s="3"/>
      <c r="N46" s="20"/>
      <c r="O46" s="20"/>
      <c r="P46" s="20"/>
      <c r="Q46" s="20"/>
      <c r="R46" s="20"/>
      <c r="S46" s="3"/>
      <c r="T46" s="3"/>
      <c r="U46" s="3"/>
      <c r="V46" s="3"/>
      <c r="W46" s="3"/>
      <c r="X46" s="3"/>
      <c r="Y46" s="3"/>
      <c r="Z46" s="3"/>
    </row>
    <row r="47" spans="1:26" ht="12.75" customHeight="1" x14ac:dyDescent="0.25">
      <c r="A47" s="78"/>
      <c r="B47" s="78"/>
      <c r="C47" s="78"/>
      <c r="D47" s="78"/>
      <c r="E47" s="3"/>
      <c r="F47" s="3"/>
      <c r="G47" s="20"/>
      <c r="H47" s="20"/>
      <c r="I47" s="20"/>
      <c r="J47" s="20"/>
      <c r="K47" s="20"/>
      <c r="L47" s="2"/>
      <c r="M47" s="3"/>
      <c r="N47" s="20"/>
      <c r="O47" s="20"/>
      <c r="P47" s="20"/>
      <c r="Q47" s="20"/>
      <c r="R47" s="20"/>
      <c r="S47" s="3"/>
      <c r="T47" s="3"/>
      <c r="U47" s="3"/>
      <c r="V47" s="3"/>
      <c r="W47" s="3"/>
      <c r="X47" s="3"/>
      <c r="Y47" s="3"/>
      <c r="Z47" s="3"/>
    </row>
    <row r="48" spans="1:26" ht="12.75" customHeight="1" thickBot="1" x14ac:dyDescent="0.3">
      <c r="A48" s="78"/>
      <c r="B48" s="78"/>
      <c r="C48" s="78"/>
      <c r="D48" s="78"/>
      <c r="E48" s="3"/>
      <c r="F48" s="2"/>
      <c r="G48" s="2"/>
      <c r="H48" s="2"/>
      <c r="I48" s="2"/>
      <c r="J48" s="2"/>
      <c r="K48" s="2"/>
      <c r="L48" s="2"/>
      <c r="M48" s="3"/>
      <c r="N48" s="20"/>
      <c r="O48" s="20"/>
      <c r="P48" s="20"/>
      <c r="Q48" s="20"/>
      <c r="R48" s="20"/>
      <c r="S48" s="3"/>
      <c r="T48" s="3"/>
      <c r="U48" s="3"/>
      <c r="V48" s="3"/>
      <c r="W48" s="3"/>
      <c r="X48" s="3"/>
      <c r="Y48" s="3"/>
      <c r="Z48" s="3"/>
    </row>
    <row r="49" spans="1:26" ht="12.75" customHeight="1" x14ac:dyDescent="0.25">
      <c r="A49" s="78"/>
      <c r="B49" s="78"/>
      <c r="C49" s="78"/>
      <c r="D49" s="78"/>
      <c r="E49" s="3"/>
      <c r="F49" s="122" t="s">
        <v>1</v>
      </c>
      <c r="G49" s="123"/>
      <c r="H49" s="123"/>
      <c r="I49" s="123"/>
      <c r="J49" s="123"/>
      <c r="K49" s="124"/>
      <c r="L49" s="2"/>
      <c r="M49" s="122" t="s">
        <v>68</v>
      </c>
      <c r="N49" s="123"/>
      <c r="O49" s="123"/>
      <c r="P49" s="123"/>
      <c r="Q49" s="123"/>
      <c r="R49" s="124"/>
      <c r="S49" s="3"/>
      <c r="T49" s="3"/>
      <c r="U49" s="3"/>
      <c r="V49" s="3"/>
      <c r="W49" s="3"/>
      <c r="X49" s="3"/>
      <c r="Y49" s="3"/>
      <c r="Z49" s="3"/>
    </row>
    <row r="50" spans="1:26" x14ac:dyDescent="0.25">
      <c r="A50" s="78"/>
      <c r="B50" s="78"/>
      <c r="C50" s="78"/>
      <c r="D50" s="78"/>
      <c r="E50" s="3"/>
      <c r="F50" s="4"/>
      <c r="G50" s="5" t="str">
        <f>G23</f>
        <v>YTD Jun '19</v>
      </c>
      <c r="H50" s="28" t="str">
        <f>H23</f>
        <v>YTD Jun '18</v>
      </c>
      <c r="I50" s="28" t="str">
        <f>I61</f>
        <v>FY 2019</v>
      </c>
      <c r="J50" s="28" t="str">
        <f>J61</f>
        <v>FY 2019</v>
      </c>
      <c r="K50" s="29" t="str">
        <f>K61</f>
        <v>FY 2018</v>
      </c>
      <c r="L50" s="2"/>
      <c r="M50" s="4"/>
      <c r="N50" s="30" t="str">
        <f>C3</f>
        <v>6/12/2019</v>
      </c>
      <c r="O50" s="30">
        <f>C4</f>
        <v>43263</v>
      </c>
      <c r="P50" s="127" t="s">
        <v>397</v>
      </c>
      <c r="Q50" s="128"/>
      <c r="R50" s="31" t="s">
        <v>398</v>
      </c>
      <c r="S50" s="3"/>
      <c r="T50" s="3"/>
      <c r="U50" s="3"/>
      <c r="V50" s="3"/>
      <c r="W50" s="3"/>
      <c r="X50" s="3"/>
      <c r="Y50" s="3"/>
      <c r="Z50" s="3"/>
    </row>
    <row r="51" spans="1:26" ht="12.75" hidden="1" customHeight="1" x14ac:dyDescent="0.25">
      <c r="A51" s="78" t="s">
        <v>102</v>
      </c>
      <c r="B51" s="78"/>
      <c r="C51" s="78"/>
      <c r="D51" s="83"/>
      <c r="E51" s="3"/>
      <c r="F51" s="116"/>
      <c r="G51" s="117"/>
      <c r="H51" s="117"/>
      <c r="I51" s="117"/>
      <c r="J51" s="117"/>
      <c r="K51" s="118"/>
      <c r="L51" s="2"/>
      <c r="M51" s="8"/>
      <c r="N51" s="33"/>
      <c r="O51" s="33"/>
      <c r="P51" s="125"/>
      <c r="Q51" s="126"/>
      <c r="R51" s="34"/>
      <c r="S51" s="3"/>
      <c r="T51" s="3"/>
      <c r="U51" s="3"/>
      <c r="V51" s="3"/>
      <c r="W51" s="3"/>
      <c r="X51" s="3"/>
      <c r="Y51" s="3"/>
      <c r="Z51" s="3"/>
    </row>
    <row r="52" spans="1:26" ht="12.75" customHeight="1" x14ac:dyDescent="0.25">
      <c r="A52" s="78"/>
      <c r="B52" s="78"/>
      <c r="C52" s="78" t="str">
        <f>M52</f>
        <v>Total Assets</v>
      </c>
      <c r="D52" s="78">
        <v>19950</v>
      </c>
      <c r="E52" s="3"/>
      <c r="F52" s="4"/>
      <c r="G52" s="5" t="s">
        <v>2</v>
      </c>
      <c r="H52" s="5" t="s">
        <v>2</v>
      </c>
      <c r="I52" s="5" t="s">
        <v>3</v>
      </c>
      <c r="J52" s="5" t="s">
        <v>4</v>
      </c>
      <c r="K52" s="6" t="s">
        <v>2</v>
      </c>
      <c r="L52" s="2"/>
      <c r="M52" s="37" t="s">
        <v>30</v>
      </c>
      <c r="N52" s="16">
        <f>70692885</f>
        <v>70692885</v>
      </c>
      <c r="O52" s="16">
        <f>55818177.32</f>
        <v>55818177.32</v>
      </c>
      <c r="P52" s="125">
        <f>N52-O52</f>
        <v>14874707.68</v>
      </c>
      <c r="Q52" s="126"/>
      <c r="R52" s="87">
        <f>P52/O52</f>
        <v>0.26648501248481826</v>
      </c>
      <c r="S52" s="3"/>
      <c r="T52" s="3"/>
      <c r="U52" s="3"/>
      <c r="V52" s="3"/>
      <c r="W52" s="3"/>
      <c r="X52" s="3"/>
      <c r="Y52" s="3"/>
      <c r="Z52" s="3"/>
    </row>
    <row r="53" spans="1:26" ht="12.75" customHeight="1" x14ac:dyDescent="0.25">
      <c r="A53" s="78"/>
      <c r="B53" s="78"/>
      <c r="C53" s="78"/>
      <c r="D53" s="78"/>
      <c r="E53" s="3"/>
      <c r="F53" s="32"/>
      <c r="G53" s="9"/>
      <c r="H53" s="9"/>
      <c r="I53" s="9"/>
      <c r="J53" s="9"/>
      <c r="K53" s="10"/>
      <c r="L53" s="2"/>
      <c r="M53" s="13"/>
      <c r="N53" s="16"/>
      <c r="O53" s="16"/>
      <c r="P53" s="125"/>
      <c r="Q53" s="126"/>
      <c r="R53" s="17"/>
      <c r="S53" s="3"/>
      <c r="T53" s="3"/>
      <c r="U53" s="3"/>
      <c r="V53" s="3"/>
      <c r="W53" s="3"/>
      <c r="X53" s="3"/>
      <c r="Y53" s="3"/>
      <c r="Z53" s="3"/>
    </row>
    <row r="54" spans="1:26" ht="12.75" customHeight="1" x14ac:dyDescent="0.25">
      <c r="A54" s="78"/>
      <c r="B54" s="78"/>
      <c r="C54" s="78" t="str">
        <f>M54</f>
        <v>Total Liabilities</v>
      </c>
      <c r="D54" s="78">
        <v>25995</v>
      </c>
      <c r="E54" s="3"/>
      <c r="F54" s="13" t="s">
        <v>5</v>
      </c>
      <c r="G54" s="35">
        <f>IF(ISERROR(G33/G29),0,G33/G29)</f>
        <v>0.43344462178247983</v>
      </c>
      <c r="H54" s="35">
        <f>IF(ISERROR(H33/H29),0,H33/H29)</f>
        <v>0.44955165584097351</v>
      </c>
      <c r="I54" s="35">
        <f>G54</f>
        <v>0.43344462178247983</v>
      </c>
      <c r="J54" s="35">
        <f>IF(ISERROR(J33/J29),0,J33/J29)</f>
        <v>0.42040748215477686</v>
      </c>
      <c r="K54" s="36">
        <f>IF(ISERROR(K33/K29),0,K33/K29)</f>
        <v>0.44359948487332584</v>
      </c>
      <c r="L54" s="2"/>
      <c r="M54" s="13" t="s">
        <v>10</v>
      </c>
      <c r="N54" s="16">
        <f>-60180353.42</f>
        <v>-60180353.420000002</v>
      </c>
      <c r="O54" s="16">
        <f>-46384284.32</f>
        <v>-46384284.32</v>
      </c>
      <c r="P54" s="125">
        <f>N54-O54</f>
        <v>-13796069.100000001</v>
      </c>
      <c r="Q54" s="126"/>
      <c r="R54" s="87">
        <f>P54/O54</f>
        <v>0.29742981490934428</v>
      </c>
      <c r="S54" s="3"/>
      <c r="T54" s="3"/>
      <c r="U54" s="3"/>
      <c r="V54" s="3"/>
      <c r="W54" s="3"/>
      <c r="X54" s="3"/>
      <c r="Y54" s="3"/>
      <c r="Z54" s="3"/>
    </row>
    <row r="55" spans="1:26" ht="12.75" customHeight="1" x14ac:dyDescent="0.25">
      <c r="A55" s="78"/>
      <c r="B55" s="78"/>
      <c r="C55" s="78"/>
      <c r="D55" s="78"/>
      <c r="E55" s="3"/>
      <c r="F55" s="13"/>
      <c r="G55" s="38"/>
      <c r="H55" s="38"/>
      <c r="I55" s="38"/>
      <c r="J55" s="38"/>
      <c r="K55" s="39"/>
      <c r="L55" s="2"/>
      <c r="M55" s="13"/>
      <c r="N55" s="16"/>
      <c r="O55" s="16"/>
      <c r="P55" s="125"/>
      <c r="Q55" s="126"/>
      <c r="R55" s="17"/>
      <c r="S55" s="3"/>
      <c r="T55" s="3"/>
      <c r="U55" s="3"/>
      <c r="V55" s="3"/>
      <c r="W55" s="3"/>
      <c r="X55" s="3"/>
      <c r="Y55" s="3"/>
      <c r="Z55" s="3"/>
    </row>
    <row r="56" spans="1:26" ht="12.75" customHeight="1" thickBot="1" x14ac:dyDescent="0.3">
      <c r="A56" s="78"/>
      <c r="B56" s="78"/>
      <c r="C56" s="78" t="str">
        <f>M56</f>
        <v>Total Liabilities and Equity</v>
      </c>
      <c r="D56" s="78">
        <v>39950</v>
      </c>
      <c r="E56" s="3"/>
      <c r="F56" s="13" t="s">
        <v>441</v>
      </c>
      <c r="G56" s="40">
        <f>IF(ISERROR(G29/N52),0,G29/N52)</f>
        <v>0.16906927917851983</v>
      </c>
      <c r="H56" s="40">
        <f>IF(ISERROR(H29/O52),0,H29/O52)</f>
        <v>0.14452493752621157</v>
      </c>
      <c r="I56" s="40"/>
      <c r="J56" s="40"/>
      <c r="K56" s="41"/>
      <c r="L56" s="2"/>
      <c r="M56" s="19" t="s">
        <v>12</v>
      </c>
      <c r="N56" s="46">
        <f>-70566114.51</f>
        <v>-70566114.510000005</v>
      </c>
      <c r="O56" s="46">
        <f>-55752297.97</f>
        <v>-55752297.969999999</v>
      </c>
      <c r="P56" s="129">
        <f>N56-O56</f>
        <v>-14813816.540000007</v>
      </c>
      <c r="Q56" s="130"/>
      <c r="R56" s="88">
        <f>P56/O56</f>
        <v>0.26570773007367765</v>
      </c>
      <c r="S56" s="3"/>
      <c r="T56" s="3"/>
      <c r="U56" s="3"/>
      <c r="V56" s="3"/>
      <c r="W56" s="3"/>
      <c r="X56" s="3"/>
      <c r="Y56" s="3"/>
      <c r="Z56" s="3"/>
    </row>
    <row r="57" spans="1:26" ht="12.75" customHeight="1" x14ac:dyDescent="0.25">
      <c r="A57" s="78"/>
      <c r="B57" s="78"/>
      <c r="C57" s="78"/>
      <c r="D57" s="78"/>
      <c r="E57" s="3"/>
      <c r="F57" s="32"/>
      <c r="G57" s="42"/>
      <c r="H57" s="42"/>
      <c r="I57" s="42"/>
      <c r="J57" s="42"/>
      <c r="K57" s="43"/>
      <c r="L57" s="2"/>
      <c r="M57" s="3"/>
      <c r="N57" s="49"/>
      <c r="O57" s="49"/>
      <c r="P57" s="49"/>
      <c r="Q57" s="49"/>
      <c r="R57" s="49"/>
      <c r="S57" s="3"/>
      <c r="T57" s="3"/>
      <c r="U57" s="3"/>
      <c r="V57" s="3"/>
      <c r="W57" s="3"/>
      <c r="X57" s="3"/>
      <c r="Y57" s="3"/>
      <c r="Z57" s="3"/>
    </row>
    <row r="58" spans="1:26" ht="12.75" customHeight="1" thickBot="1" x14ac:dyDescent="0.3">
      <c r="A58" s="78"/>
      <c r="B58" s="78"/>
      <c r="C58" s="78"/>
      <c r="D58" s="78"/>
      <c r="E58" s="3"/>
      <c r="F58" s="19" t="s">
        <v>7</v>
      </c>
      <c r="G58" s="44">
        <f>IF(ISERROR(G42/N52),0,G42/N52)</f>
        <v>-2.7831351061709027E-3</v>
      </c>
      <c r="H58" s="44">
        <f>IF(ISERROR(H42/O52),0,H42/O52)</f>
        <v>-1.2023945105773333E-3</v>
      </c>
      <c r="I58" s="44"/>
      <c r="J58" s="44"/>
      <c r="K58" s="45"/>
      <c r="L58" s="2"/>
      <c r="M58" s="2"/>
      <c r="N58" s="2"/>
      <c r="O58" s="2"/>
      <c r="P58" s="2"/>
      <c r="Q58" s="2"/>
      <c r="R58" s="2"/>
      <c r="S58" s="3"/>
      <c r="T58" s="3"/>
      <c r="U58" s="3"/>
      <c r="V58" s="3"/>
      <c r="W58" s="3"/>
      <c r="X58" s="3"/>
      <c r="Y58" s="3"/>
      <c r="Z58" s="3"/>
    </row>
    <row r="59" spans="1:26" ht="15.75" thickBot="1" x14ac:dyDescent="0.3">
      <c r="A59" s="78"/>
      <c r="B59" s="78"/>
      <c r="C59" s="78"/>
      <c r="D59" s="78"/>
      <c r="E59" s="3"/>
      <c r="F59" s="47"/>
      <c r="G59" s="48"/>
      <c r="H59" s="48"/>
      <c r="I59" s="48"/>
      <c r="J59" s="48"/>
      <c r="K59" s="48"/>
      <c r="L59" s="69"/>
      <c r="M59" s="2"/>
      <c r="N59" s="2"/>
      <c r="O59" s="2"/>
      <c r="P59" s="2"/>
      <c r="Q59" s="2"/>
      <c r="R59" s="2"/>
      <c r="S59" s="3"/>
      <c r="T59" s="3"/>
      <c r="U59" s="3"/>
      <c r="V59" s="3"/>
      <c r="W59" s="3"/>
      <c r="X59" s="3"/>
      <c r="Y59" s="3"/>
      <c r="Z59" s="3"/>
    </row>
    <row r="60" spans="1:26" x14ac:dyDescent="0.25">
      <c r="A60" s="78"/>
      <c r="B60" s="78"/>
      <c r="C60" s="78"/>
      <c r="D60" s="78"/>
      <c r="E60" s="3"/>
      <c r="F60" s="122" t="s">
        <v>13</v>
      </c>
      <c r="G60" s="123"/>
      <c r="H60" s="123"/>
      <c r="I60" s="123"/>
      <c r="J60" s="123"/>
      <c r="K60" s="124"/>
      <c r="L60" s="2"/>
      <c r="M60" s="2"/>
      <c r="N60" s="2"/>
      <c r="O60" s="2"/>
      <c r="P60" s="2"/>
      <c r="Q60" s="2"/>
      <c r="R60" s="2"/>
      <c r="S60" s="3"/>
      <c r="T60" s="3"/>
      <c r="U60" s="3"/>
      <c r="V60" s="3"/>
      <c r="W60" s="3"/>
      <c r="X60" s="3"/>
      <c r="Y60" s="3"/>
      <c r="Z60" s="3"/>
    </row>
    <row r="61" spans="1:26" x14ac:dyDescent="0.25">
      <c r="A61" s="78"/>
      <c r="B61" s="78"/>
      <c r="C61" s="78"/>
      <c r="D61" s="78"/>
      <c r="E61" s="3"/>
      <c r="F61" s="4"/>
      <c r="G61" s="50" t="str">
        <f>"For" &amp; " " &amp; TEXT(C3,"MMm 'YY")</f>
        <v>For Jun '19</v>
      </c>
      <c r="H61" s="50" t="str">
        <f>"For" &amp; " " &amp; TEXT($C$4,"MMm 'YY")</f>
        <v>For Jun '18</v>
      </c>
      <c r="I61" s="51" t="str">
        <f>I23</f>
        <v>FY 2019</v>
      </c>
      <c r="J61" s="52" t="str">
        <f>J23</f>
        <v>FY 2019</v>
      </c>
      <c r="K61" s="53" t="str">
        <f>K23</f>
        <v>FY 2018</v>
      </c>
      <c r="L61" s="2"/>
      <c r="M61" s="2"/>
      <c r="N61" s="2"/>
      <c r="O61" s="2"/>
      <c r="P61" s="2"/>
      <c r="Q61" s="2"/>
      <c r="R61" s="2"/>
      <c r="S61" s="3"/>
      <c r="T61" s="3"/>
      <c r="U61" s="3"/>
      <c r="V61" s="3"/>
      <c r="W61" s="3"/>
      <c r="X61" s="3"/>
      <c r="Y61" s="3"/>
      <c r="Z61" s="3"/>
    </row>
    <row r="62" spans="1:26" x14ac:dyDescent="0.25">
      <c r="A62" s="78"/>
      <c r="B62" s="78"/>
      <c r="C62" s="78"/>
      <c r="D62" s="78"/>
      <c r="E62" s="3"/>
      <c r="F62" s="54"/>
      <c r="G62" s="5" t="s">
        <v>2</v>
      </c>
      <c r="H62" s="5" t="s">
        <v>2</v>
      </c>
      <c r="I62" s="5" t="s">
        <v>3</v>
      </c>
      <c r="J62" s="5" t="s">
        <v>4</v>
      </c>
      <c r="K62" s="6" t="s">
        <v>2</v>
      </c>
      <c r="L62" s="2"/>
      <c r="M62" s="2"/>
      <c r="N62" s="2"/>
      <c r="O62" s="2"/>
      <c r="P62" s="2"/>
      <c r="Q62" s="2"/>
      <c r="R62" s="2"/>
      <c r="S62" s="3"/>
      <c r="T62" s="3"/>
      <c r="U62" s="3"/>
      <c r="V62" s="3"/>
      <c r="W62" s="3"/>
      <c r="X62" s="3"/>
      <c r="Y62" s="3"/>
      <c r="Z62" s="3"/>
    </row>
    <row r="63" spans="1:26" x14ac:dyDescent="0.25">
      <c r="A63" s="78"/>
      <c r="B63" s="78"/>
      <c r="C63" s="78"/>
      <c r="D63" s="86">
        <v>99999</v>
      </c>
      <c r="E63" s="3"/>
      <c r="F63" s="13" t="str">
        <f>"Net Income"</f>
        <v>Net Income</v>
      </c>
      <c r="G63" s="14">
        <f>126770.49</f>
        <v>126770.49</v>
      </c>
      <c r="H63" s="14">
        <f>65879.35</f>
        <v>65879.350000000006</v>
      </c>
      <c r="I63" s="14">
        <f>1435510.62</f>
        <v>1435510.62</v>
      </c>
      <c r="J63" s="14">
        <f>1435510.62</f>
        <v>1435510.62</v>
      </c>
      <c r="K63" s="15">
        <f>1017747.44</f>
        <v>1017747.44</v>
      </c>
      <c r="L63" s="2"/>
      <c r="M63" s="2"/>
      <c r="N63" s="2"/>
      <c r="O63" s="2"/>
      <c r="P63" s="2"/>
      <c r="Q63" s="2"/>
      <c r="R63" s="2"/>
      <c r="S63" s="3"/>
      <c r="T63" s="3"/>
      <c r="U63" s="3"/>
      <c r="V63" s="3"/>
      <c r="W63" s="3"/>
      <c r="X63" s="3"/>
      <c r="Y63" s="3"/>
      <c r="Z63" s="3"/>
    </row>
    <row r="64" spans="1:26" x14ac:dyDescent="0.25">
      <c r="A64" s="78"/>
      <c r="B64" s="78"/>
      <c r="C64" s="78"/>
      <c r="D64" s="86"/>
      <c r="E64" s="3"/>
      <c r="F64" s="57" t="s">
        <v>25</v>
      </c>
      <c r="G64" s="55"/>
      <c r="H64" s="55"/>
      <c r="I64" s="55"/>
      <c r="J64" s="55"/>
      <c r="K64" s="56"/>
      <c r="L64" s="2"/>
      <c r="M64" s="2"/>
      <c r="N64" s="2"/>
      <c r="O64" s="2"/>
      <c r="P64" s="2"/>
      <c r="Q64" s="2"/>
      <c r="R64" s="2"/>
      <c r="S64" s="3"/>
      <c r="T64" s="3"/>
      <c r="U64" s="3"/>
      <c r="V64" s="3"/>
      <c r="W64" s="3"/>
      <c r="X64" s="3"/>
      <c r="Y64" s="3"/>
      <c r="Z64" s="3"/>
    </row>
    <row r="65" spans="1:26" x14ac:dyDescent="0.25">
      <c r="A65" s="78"/>
      <c r="B65" s="78"/>
      <c r="C65" s="78"/>
      <c r="D65" s="86" t="s">
        <v>24</v>
      </c>
      <c r="E65" s="3"/>
      <c r="F65" s="13" t="str">
        <f>"Accum. Depreciation, Vehicles"</f>
        <v>Accum. Depreciation, Vehicles</v>
      </c>
      <c r="G65" s="14">
        <f>0</f>
        <v>0</v>
      </c>
      <c r="H65" s="14">
        <f>0</f>
        <v>0</v>
      </c>
      <c r="I65" s="14">
        <f>0</f>
        <v>0</v>
      </c>
      <c r="J65" s="14">
        <f>0</f>
        <v>0</v>
      </c>
      <c r="K65" s="15">
        <f>0</f>
        <v>0</v>
      </c>
      <c r="L65" s="2"/>
      <c r="M65" s="2"/>
      <c r="N65" s="2"/>
      <c r="O65" s="2"/>
      <c r="P65" s="2"/>
      <c r="Q65" s="2"/>
      <c r="R65" s="2"/>
      <c r="S65" s="3"/>
      <c r="T65" s="3"/>
      <c r="U65" s="3"/>
      <c r="V65" s="3"/>
      <c r="W65" s="3"/>
      <c r="X65" s="3"/>
      <c r="Y65" s="3"/>
      <c r="Z65" s="3"/>
    </row>
    <row r="66" spans="1:26" x14ac:dyDescent="0.25">
      <c r="A66" s="78"/>
      <c r="B66" s="78"/>
      <c r="C66" s="78"/>
      <c r="D66" s="86">
        <v>12300</v>
      </c>
      <c r="E66" s="3"/>
      <c r="F66" s="13" t="str">
        <f>"Securities, Total"</f>
        <v>Securities, Total</v>
      </c>
      <c r="G66" s="14">
        <f>0</f>
        <v>0</v>
      </c>
      <c r="H66" s="14">
        <f>0</f>
        <v>0</v>
      </c>
      <c r="I66" s="14">
        <f>0</f>
        <v>0</v>
      </c>
      <c r="J66" s="14">
        <f>0</f>
        <v>0</v>
      </c>
      <c r="K66" s="15">
        <f>0</f>
        <v>0</v>
      </c>
      <c r="L66" s="2"/>
      <c r="M66" s="2"/>
      <c r="N66" s="2"/>
      <c r="O66" s="2"/>
      <c r="P66" s="2"/>
      <c r="Q66" s="2"/>
      <c r="R66" s="2"/>
      <c r="S66" s="3"/>
      <c r="T66" s="3"/>
      <c r="U66" s="3"/>
      <c r="V66" s="3"/>
      <c r="W66" s="3"/>
      <c r="X66" s="3"/>
      <c r="Y66" s="3"/>
      <c r="Z66" s="3"/>
    </row>
    <row r="67" spans="1:26" x14ac:dyDescent="0.25">
      <c r="A67" s="78"/>
      <c r="B67" s="78"/>
      <c r="C67" s="78"/>
      <c r="D67" s="86">
        <v>13400</v>
      </c>
      <c r="E67" s="3"/>
      <c r="F67" s="13" t="str">
        <f>"Accounts Receivable, Total"</f>
        <v>Accounts Receivable, Total</v>
      </c>
      <c r="G67" s="14">
        <f>-6052126.29</f>
        <v>-6052126.29</v>
      </c>
      <c r="H67" s="14">
        <f>-3648760.49</f>
        <v>-3648760.49</v>
      </c>
      <c r="I67" s="14">
        <f>-11653482.96</f>
        <v>-11653482.960000001</v>
      </c>
      <c r="J67" s="14">
        <f>-11653482.96</f>
        <v>-11653482.960000001</v>
      </c>
      <c r="K67" s="15">
        <f>-8905092.74</f>
        <v>-8905092.7400000002</v>
      </c>
      <c r="L67" s="2"/>
      <c r="M67" s="2"/>
      <c r="N67" s="2"/>
      <c r="O67" s="2"/>
      <c r="P67" s="2"/>
      <c r="Q67" s="2"/>
      <c r="R67" s="2"/>
      <c r="S67" s="3"/>
      <c r="T67" s="3"/>
      <c r="U67" s="3"/>
      <c r="V67" s="3"/>
      <c r="W67" s="3"/>
      <c r="X67" s="3"/>
      <c r="Y67" s="3"/>
      <c r="Z67" s="3"/>
    </row>
    <row r="68" spans="1:26" x14ac:dyDescent="0.25">
      <c r="A68" s="78"/>
      <c r="B68" s="78"/>
      <c r="C68" s="78"/>
      <c r="D68" s="86">
        <v>14500</v>
      </c>
      <c r="E68" s="3"/>
      <c r="F68" s="13" t="str">
        <f>"Inventory, Total"</f>
        <v>Inventory, Total</v>
      </c>
      <c r="G68" s="14">
        <f>-54306.76</f>
        <v>-54306.76</v>
      </c>
      <c r="H68" s="14">
        <f>-135332.84</f>
        <v>-135332.84</v>
      </c>
      <c r="I68" s="14">
        <f>1138677.91</f>
        <v>1138677.9099999999</v>
      </c>
      <c r="J68" s="14">
        <f>1138677.91</f>
        <v>1138677.9099999999</v>
      </c>
      <c r="K68" s="15">
        <f>653332.61</f>
        <v>653332.61</v>
      </c>
      <c r="L68" s="2"/>
      <c r="M68" s="2"/>
      <c r="N68" s="2"/>
      <c r="O68" s="2"/>
      <c r="P68" s="2"/>
      <c r="Q68" s="2"/>
      <c r="R68" s="2"/>
      <c r="S68" s="3"/>
      <c r="T68" s="3"/>
      <c r="U68" s="3"/>
      <c r="V68" s="3"/>
      <c r="W68" s="3"/>
      <c r="X68" s="3"/>
      <c r="Y68" s="3"/>
      <c r="Z68" s="3"/>
    </row>
    <row r="69" spans="1:26" x14ac:dyDescent="0.25">
      <c r="A69" s="78"/>
      <c r="B69" s="78"/>
      <c r="C69" s="78"/>
      <c r="D69" s="86">
        <v>13540</v>
      </c>
      <c r="E69" s="3"/>
      <c r="F69" s="13" t="str">
        <f>"Purchase Prepayments, Total"</f>
        <v>Purchase Prepayments, Total</v>
      </c>
      <c r="G69" s="14">
        <f>0</f>
        <v>0</v>
      </c>
      <c r="H69" s="14">
        <f>0</f>
        <v>0</v>
      </c>
      <c r="I69" s="14">
        <f>0</f>
        <v>0</v>
      </c>
      <c r="J69" s="14">
        <f>0</f>
        <v>0</v>
      </c>
      <c r="K69" s="15">
        <f>0</f>
        <v>0</v>
      </c>
      <c r="L69" s="3"/>
      <c r="M69" s="2"/>
      <c r="N69" s="2"/>
      <c r="O69" s="2"/>
      <c r="P69" s="2"/>
      <c r="Q69" s="2"/>
      <c r="R69" s="2"/>
      <c r="S69" s="3"/>
      <c r="T69" s="3"/>
      <c r="U69" s="3"/>
      <c r="V69" s="3"/>
      <c r="W69" s="3"/>
      <c r="X69" s="3"/>
      <c r="Y69" s="3"/>
      <c r="Z69" s="3"/>
    </row>
    <row r="70" spans="1:26" x14ac:dyDescent="0.25">
      <c r="A70" s="78"/>
      <c r="B70" s="78"/>
      <c r="C70" s="78"/>
      <c r="D70" s="86">
        <v>22500</v>
      </c>
      <c r="E70" s="3"/>
      <c r="F70" s="13" t="str">
        <f>"Accounts Payable, Total"</f>
        <v>Accounts Payable, Total</v>
      </c>
      <c r="G70" s="14">
        <f>7481413.82</f>
        <v>7481413.8200000003</v>
      </c>
      <c r="H70" s="14">
        <f>5233661.7</f>
        <v>5233661.7</v>
      </c>
      <c r="I70" s="14">
        <f>14648534.16</f>
        <v>14648534.16</v>
      </c>
      <c r="J70" s="14">
        <f>14648534.16</f>
        <v>14648534.16</v>
      </c>
      <c r="K70" s="15">
        <f>11548316.98</f>
        <v>11548316.98</v>
      </c>
      <c r="L70" s="3"/>
      <c r="M70" s="2"/>
      <c r="N70" s="2"/>
      <c r="O70" s="2"/>
      <c r="P70" s="2"/>
      <c r="Q70" s="2"/>
      <c r="R70" s="2"/>
      <c r="S70" s="3"/>
      <c r="T70" s="3"/>
      <c r="U70" s="3"/>
      <c r="V70" s="3"/>
      <c r="W70" s="3"/>
      <c r="X70" s="3"/>
      <c r="Y70" s="3"/>
      <c r="Z70" s="3"/>
    </row>
    <row r="71" spans="1:26" x14ac:dyDescent="0.25">
      <c r="A71" s="78"/>
      <c r="B71" s="78"/>
      <c r="C71" s="78"/>
      <c r="D71" s="86">
        <v>22100</v>
      </c>
      <c r="E71" s="3"/>
      <c r="F71" s="13" t="str">
        <f>"Revolving Credit"</f>
        <v>Revolving Credit</v>
      </c>
      <c r="G71" s="14">
        <f>0</f>
        <v>0</v>
      </c>
      <c r="H71" s="14">
        <f>0</f>
        <v>0</v>
      </c>
      <c r="I71" s="14">
        <f>0</f>
        <v>0</v>
      </c>
      <c r="J71" s="14">
        <f>0</f>
        <v>0</v>
      </c>
      <c r="K71" s="15">
        <f>0</f>
        <v>0</v>
      </c>
      <c r="L71" s="3"/>
      <c r="M71" s="2"/>
      <c r="N71" s="2"/>
      <c r="O71" s="2"/>
      <c r="P71" s="2"/>
      <c r="Q71" s="2"/>
      <c r="R71" s="2"/>
      <c r="S71" s="3"/>
      <c r="T71" s="3"/>
      <c r="U71" s="3"/>
      <c r="V71" s="3"/>
      <c r="W71" s="3"/>
      <c r="X71" s="3"/>
      <c r="Y71" s="3"/>
      <c r="Z71" s="3"/>
    </row>
    <row r="72" spans="1:26" x14ac:dyDescent="0.25">
      <c r="A72" s="78"/>
      <c r="B72" s="78"/>
      <c r="C72" s="78"/>
      <c r="D72" s="86">
        <v>23900</v>
      </c>
      <c r="E72" s="3"/>
      <c r="F72" s="13" t="str">
        <f>"Total Personnel-related Items"</f>
        <v>Total Personnel-related Items</v>
      </c>
      <c r="G72" s="14">
        <f>0</f>
        <v>0</v>
      </c>
      <c r="H72" s="14">
        <f>0</f>
        <v>0</v>
      </c>
      <c r="I72" s="14">
        <f>0</f>
        <v>0</v>
      </c>
      <c r="J72" s="14">
        <f>0</f>
        <v>0</v>
      </c>
      <c r="K72" s="15">
        <f>0</f>
        <v>0</v>
      </c>
      <c r="L72" s="3"/>
      <c r="M72" s="2"/>
      <c r="N72" s="2"/>
      <c r="O72" s="2"/>
      <c r="P72" s="2"/>
      <c r="Q72" s="2"/>
      <c r="R72" s="2"/>
      <c r="S72" s="3"/>
      <c r="T72" s="3"/>
      <c r="U72" s="3"/>
      <c r="V72" s="3"/>
      <c r="W72" s="3"/>
      <c r="X72" s="3"/>
      <c r="Y72" s="3"/>
      <c r="Z72" s="3"/>
    </row>
    <row r="73" spans="1:26" ht="15.75" thickBot="1" x14ac:dyDescent="0.3">
      <c r="A73" s="78"/>
      <c r="B73" s="78"/>
      <c r="C73" s="78"/>
      <c r="D73" s="86">
        <v>24400</v>
      </c>
      <c r="E73" s="3"/>
      <c r="F73" s="13" t="str">
        <f>"Other Liabilities, Total"</f>
        <v>Other Liabilities, Total</v>
      </c>
      <c r="G73" s="14">
        <f>0</f>
        <v>0</v>
      </c>
      <c r="H73" s="14">
        <f>0</f>
        <v>0</v>
      </c>
      <c r="I73" s="14">
        <f>0</f>
        <v>0</v>
      </c>
      <c r="J73" s="14">
        <f>0</f>
        <v>0</v>
      </c>
      <c r="K73" s="15">
        <f>0</f>
        <v>0</v>
      </c>
      <c r="L73" s="3"/>
      <c r="M73" s="2"/>
      <c r="N73" s="2"/>
      <c r="O73" s="2"/>
      <c r="P73" s="2"/>
      <c r="Q73" s="2"/>
      <c r="R73" s="2"/>
      <c r="S73" s="3"/>
      <c r="T73" s="3"/>
      <c r="U73" s="3"/>
      <c r="V73" s="3"/>
      <c r="W73" s="3"/>
      <c r="X73" s="3"/>
      <c r="Y73" s="3"/>
      <c r="Z73" s="3"/>
    </row>
    <row r="74" spans="1:26" ht="16.5" thickTop="1" thickBot="1" x14ac:dyDescent="0.3">
      <c r="A74" s="78"/>
      <c r="B74" s="78"/>
      <c r="C74" s="78"/>
      <c r="D74" s="78"/>
      <c r="E74" s="3"/>
      <c r="F74" s="93" t="s">
        <v>15</v>
      </c>
      <c r="G74" s="103">
        <f>SUM(G63:G73)</f>
        <v>1501751.2600000007</v>
      </c>
      <c r="H74" s="103">
        <f>SUM(H63:H73)</f>
        <v>1515447.7200000002</v>
      </c>
      <c r="I74" s="103">
        <f>SUM(I63:I73)</f>
        <v>5569239.7300000004</v>
      </c>
      <c r="J74" s="103">
        <f>SUM(J63:J73)</f>
        <v>5569239.7300000004</v>
      </c>
      <c r="K74" s="104">
        <f>SUM(K63:K73)</f>
        <v>4314304.29</v>
      </c>
      <c r="L74" s="3"/>
      <c r="M74" s="2"/>
      <c r="N74" s="2"/>
      <c r="O74" s="2"/>
      <c r="P74" s="2"/>
      <c r="Q74" s="2"/>
      <c r="R74" s="2"/>
      <c r="S74" s="3"/>
      <c r="T74" s="3"/>
      <c r="U74" s="3"/>
      <c r="V74" s="3"/>
      <c r="W74" s="3"/>
      <c r="X74" s="3"/>
      <c r="Y74" s="3"/>
      <c r="Z74" s="3"/>
    </row>
    <row r="75" spans="1:26" ht="15.75" thickTop="1" x14ac:dyDescent="0.25">
      <c r="A75" s="78"/>
      <c r="B75" s="78"/>
      <c r="C75" s="78"/>
      <c r="D75" s="86" t="s">
        <v>26</v>
      </c>
      <c r="E75" s="3"/>
      <c r="F75" s="13" t="str">
        <f>"Land and Buildings"</f>
        <v>Land and Buildings</v>
      </c>
      <c r="G75" s="14">
        <f>0</f>
        <v>0</v>
      </c>
      <c r="H75" s="14">
        <f>0</f>
        <v>0</v>
      </c>
      <c r="I75" s="14">
        <f>G75/$C$18</f>
        <v>0</v>
      </c>
      <c r="J75" s="14">
        <f>0</f>
        <v>0</v>
      </c>
      <c r="K75" s="15">
        <f>0</f>
        <v>0</v>
      </c>
      <c r="L75" s="3"/>
      <c r="M75" s="2"/>
      <c r="N75" s="2"/>
      <c r="O75" s="2"/>
      <c r="P75" s="2"/>
      <c r="Q75" s="2"/>
      <c r="R75" s="2"/>
      <c r="S75" s="3"/>
      <c r="T75" s="3"/>
      <c r="U75" s="3"/>
      <c r="V75" s="3"/>
      <c r="W75" s="3"/>
      <c r="X75" s="3"/>
      <c r="Y75" s="3"/>
      <c r="Z75" s="3"/>
    </row>
    <row r="76" spans="1:26" ht="15.75" thickBot="1" x14ac:dyDescent="0.3">
      <c r="A76" s="78"/>
      <c r="B76" s="78"/>
      <c r="C76" s="78"/>
      <c r="D76" s="86" t="s">
        <v>27</v>
      </c>
      <c r="E76" s="3"/>
      <c r="F76" s="13" t="str">
        <f>"Vehicles"</f>
        <v>Vehicles</v>
      </c>
      <c r="G76" s="14">
        <f>0</f>
        <v>0</v>
      </c>
      <c r="H76" s="14">
        <f>0</f>
        <v>0</v>
      </c>
      <c r="I76" s="14">
        <f>G76/$C$18</f>
        <v>0</v>
      </c>
      <c r="J76" s="14">
        <f>0</f>
        <v>0</v>
      </c>
      <c r="K76" s="15">
        <f>0</f>
        <v>0</v>
      </c>
      <c r="L76" s="3"/>
      <c r="M76" s="2"/>
      <c r="N76" s="2"/>
      <c r="O76" s="2"/>
      <c r="P76" s="2"/>
      <c r="Q76" s="2"/>
      <c r="R76" s="2"/>
      <c r="S76" s="3"/>
      <c r="T76" s="3"/>
      <c r="U76" s="3"/>
      <c r="V76" s="3"/>
      <c r="W76" s="3"/>
      <c r="X76" s="3"/>
      <c r="Y76" s="3"/>
      <c r="Z76" s="3"/>
    </row>
    <row r="77" spans="1:26" ht="16.5" thickTop="1" thickBot="1" x14ac:dyDescent="0.3">
      <c r="A77" s="78"/>
      <c r="B77" s="78"/>
      <c r="C77" s="78"/>
      <c r="D77" s="78"/>
      <c r="E77" s="3"/>
      <c r="F77" s="93" t="s">
        <v>16</v>
      </c>
      <c r="G77" s="103">
        <f>SUM(G75:G76)</f>
        <v>0</v>
      </c>
      <c r="H77" s="103">
        <f>SUM(H75:H76)</f>
        <v>0</v>
      </c>
      <c r="I77" s="103">
        <f>SUM(I75:I76)</f>
        <v>0</v>
      </c>
      <c r="J77" s="103">
        <f>SUM(J75:J76)</f>
        <v>0</v>
      </c>
      <c r="K77" s="104">
        <f>SUM(K75:K76)</f>
        <v>0</v>
      </c>
      <c r="L77" s="3"/>
      <c r="M77" s="2"/>
      <c r="N77" s="2"/>
      <c r="O77" s="2"/>
      <c r="P77" s="2"/>
      <c r="Q77" s="2"/>
      <c r="R77" s="2"/>
      <c r="S77" s="3"/>
      <c r="T77" s="3"/>
      <c r="U77" s="3"/>
      <c r="V77" s="3"/>
      <c r="W77" s="3"/>
      <c r="X77" s="3"/>
      <c r="Y77" s="3"/>
      <c r="Z77" s="3"/>
    </row>
    <row r="78" spans="1:26" ht="15.75" thickTop="1" x14ac:dyDescent="0.25">
      <c r="A78" s="78"/>
      <c r="B78" s="78"/>
      <c r="C78" s="78"/>
      <c r="D78" s="86" t="s">
        <v>28</v>
      </c>
      <c r="E78" s="3"/>
      <c r="F78" s="13" t="str">
        <f>"Long-term Liabilities"</f>
        <v>Long-term Liabilities</v>
      </c>
      <c r="G78" s="14">
        <f>0</f>
        <v>0</v>
      </c>
      <c r="H78" s="14">
        <f>0</f>
        <v>0</v>
      </c>
      <c r="I78" s="14">
        <f>G78/$C$18</f>
        <v>0</v>
      </c>
      <c r="J78" s="14">
        <f>0</f>
        <v>0</v>
      </c>
      <c r="K78" s="15">
        <f>0</f>
        <v>0</v>
      </c>
      <c r="L78" s="3"/>
      <c r="M78" s="2"/>
      <c r="N78" s="2"/>
      <c r="O78" s="2"/>
      <c r="P78" s="2"/>
      <c r="Q78" s="2"/>
      <c r="R78" s="2"/>
      <c r="S78" s="3"/>
      <c r="T78" s="3"/>
      <c r="U78" s="3"/>
      <c r="V78" s="3"/>
      <c r="W78" s="3"/>
      <c r="X78" s="3"/>
      <c r="Y78" s="3"/>
      <c r="Z78" s="3"/>
    </row>
    <row r="79" spans="1:26" x14ac:dyDescent="0.25">
      <c r="A79" s="78"/>
      <c r="B79" s="78"/>
      <c r="C79" s="78"/>
      <c r="D79" s="86" t="s">
        <v>231</v>
      </c>
      <c r="E79" s="3"/>
      <c r="F79" s="13" t="str">
        <f>"Capital Stock"</f>
        <v>Capital Stock</v>
      </c>
      <c r="G79" s="14">
        <f>0</f>
        <v>0</v>
      </c>
      <c r="H79" s="14">
        <f>0</f>
        <v>0</v>
      </c>
      <c r="I79" s="14">
        <f>G79/$C$18</f>
        <v>0</v>
      </c>
      <c r="J79" s="14">
        <f>0</f>
        <v>0</v>
      </c>
      <c r="K79" s="15">
        <f>0</f>
        <v>0</v>
      </c>
      <c r="L79" s="3"/>
      <c r="M79" s="2"/>
      <c r="N79" s="2"/>
      <c r="O79" s="2"/>
      <c r="P79" s="2"/>
      <c r="Q79" s="2"/>
      <c r="R79" s="2"/>
      <c r="S79" s="3"/>
      <c r="T79" s="3"/>
      <c r="U79" s="3"/>
      <c r="V79" s="3"/>
      <c r="W79" s="3"/>
      <c r="X79" s="3"/>
      <c r="Y79" s="3"/>
      <c r="Z79" s="3"/>
    </row>
    <row r="80" spans="1:26" ht="15.75" thickBot="1" x14ac:dyDescent="0.3">
      <c r="A80" s="78"/>
      <c r="B80" s="78"/>
      <c r="C80" s="78"/>
      <c r="D80" s="86">
        <v>30200</v>
      </c>
      <c r="E80" s="3"/>
      <c r="F80" s="13" t="str">
        <f>"Retained Earnings"</f>
        <v>Retained Earnings</v>
      </c>
      <c r="G80" s="14">
        <f>0</f>
        <v>0</v>
      </c>
      <c r="H80" s="14">
        <f>0</f>
        <v>0</v>
      </c>
      <c r="I80" s="14">
        <f>G80/$C$18</f>
        <v>0</v>
      </c>
      <c r="J80" s="14">
        <f>0</f>
        <v>0</v>
      </c>
      <c r="K80" s="15">
        <f>0</f>
        <v>0</v>
      </c>
      <c r="L80" s="3"/>
      <c r="M80" s="2"/>
      <c r="N80" s="2"/>
      <c r="O80" s="2"/>
      <c r="P80" s="2"/>
      <c r="Q80" s="2"/>
      <c r="R80" s="2"/>
      <c r="S80" s="3"/>
      <c r="T80" s="3"/>
      <c r="U80" s="3"/>
      <c r="V80" s="3"/>
      <c r="W80" s="3"/>
      <c r="X80" s="3"/>
      <c r="Y80" s="3"/>
      <c r="Z80" s="3"/>
    </row>
    <row r="81" spans="1:27" ht="16.5" thickTop="1" thickBot="1" x14ac:dyDescent="0.3">
      <c r="A81" s="78"/>
      <c r="B81" s="78"/>
      <c r="C81" s="78"/>
      <c r="D81" s="78"/>
      <c r="E81" s="3"/>
      <c r="F81" s="93" t="s">
        <v>17</v>
      </c>
      <c r="G81" s="105">
        <f>SUM(G78:G80)</f>
        <v>0</v>
      </c>
      <c r="H81" s="105">
        <f>SUM(H78:H80)</f>
        <v>0</v>
      </c>
      <c r="I81" s="105">
        <f>SUM(I78:I80)</f>
        <v>0</v>
      </c>
      <c r="J81" s="105">
        <f>SUM(J78:J80)</f>
        <v>0</v>
      </c>
      <c r="K81" s="106">
        <f>SUM(K78:K80)</f>
        <v>0</v>
      </c>
      <c r="L81" s="3"/>
      <c r="M81" s="2"/>
      <c r="N81" s="2"/>
      <c r="O81" s="2"/>
      <c r="P81" s="2"/>
      <c r="Q81" s="2"/>
      <c r="R81" s="2"/>
      <c r="S81" s="3"/>
      <c r="T81" s="3"/>
      <c r="U81" s="3"/>
      <c r="V81" s="3"/>
      <c r="W81" s="3"/>
      <c r="X81" s="3"/>
      <c r="Y81" s="3"/>
      <c r="Z81" s="3"/>
    </row>
    <row r="82" spans="1:27" ht="15.75" thickTop="1" x14ac:dyDescent="0.25">
      <c r="A82" s="78"/>
      <c r="B82" s="78"/>
      <c r="C82" s="78"/>
      <c r="D82" s="78"/>
      <c r="E82" s="3"/>
      <c r="F82" s="13"/>
      <c r="G82" s="16"/>
      <c r="H82" s="16"/>
      <c r="I82" s="16"/>
      <c r="J82" s="16"/>
      <c r="K82" s="17"/>
      <c r="L82" s="3"/>
      <c r="M82" s="2"/>
      <c r="N82" s="2"/>
      <c r="O82" s="2"/>
      <c r="P82" s="2"/>
      <c r="Q82" s="2"/>
      <c r="R82" s="2"/>
      <c r="S82" s="3"/>
      <c r="T82" s="3"/>
      <c r="U82" s="3"/>
      <c r="V82" s="3"/>
      <c r="W82" s="3"/>
      <c r="X82" s="3"/>
      <c r="Y82" s="3"/>
      <c r="Z82" s="3"/>
    </row>
    <row r="83" spans="1:27" x14ac:dyDescent="0.25">
      <c r="A83" s="78"/>
      <c r="B83" s="78"/>
      <c r="C83" s="78"/>
      <c r="D83" s="78"/>
      <c r="E83" s="3"/>
      <c r="F83" s="32" t="s">
        <v>18</v>
      </c>
      <c r="G83" s="14">
        <f>G74+G77+G81</f>
        <v>1501751.2600000007</v>
      </c>
      <c r="H83" s="14">
        <f>H74+H77+H81</f>
        <v>1515447.7200000002</v>
      </c>
      <c r="I83" s="14">
        <f>I74+I77+I81</f>
        <v>5569239.7300000004</v>
      </c>
      <c r="J83" s="14">
        <f>J74+J77+J81</f>
        <v>5569239.7300000004</v>
      </c>
      <c r="K83" s="15">
        <f>K74+K77+K81</f>
        <v>4314304.29</v>
      </c>
      <c r="L83" s="3"/>
      <c r="M83" s="2"/>
      <c r="N83" s="2"/>
      <c r="O83" s="2"/>
      <c r="P83" s="2"/>
      <c r="Q83" s="2"/>
      <c r="R83" s="2"/>
      <c r="S83" s="3"/>
      <c r="T83" s="3"/>
      <c r="U83" s="3"/>
      <c r="V83" s="3"/>
      <c r="W83" s="3"/>
      <c r="X83" s="3"/>
      <c r="Y83" s="3"/>
      <c r="Z83" s="3"/>
    </row>
    <row r="84" spans="1:27" ht="15.75" thickBot="1" x14ac:dyDescent="0.3">
      <c r="A84" s="78"/>
      <c r="B84" s="78"/>
      <c r="C84" s="78"/>
      <c r="D84" s="86" t="s">
        <v>29</v>
      </c>
      <c r="E84" s="3"/>
      <c r="F84" s="32" t="s">
        <v>223</v>
      </c>
      <c r="G84" s="14">
        <v>11933999.199999999</v>
      </c>
      <c r="H84" s="14">
        <v>7619694.9099999992</v>
      </c>
      <c r="I84" s="14">
        <f>G84/$C$18</f>
        <v>26723372.441717789</v>
      </c>
      <c r="J84" s="14">
        <v>11933999.199999999</v>
      </c>
      <c r="K84" s="14">
        <v>7619694.9099999992</v>
      </c>
      <c r="L84" s="3"/>
      <c r="M84" s="2"/>
      <c r="N84" s="2"/>
      <c r="O84" s="2"/>
      <c r="P84" s="2"/>
      <c r="Q84" s="2"/>
      <c r="R84" s="2"/>
      <c r="S84" s="3"/>
      <c r="T84" s="3"/>
      <c r="U84" s="3"/>
      <c r="V84" s="3"/>
      <c r="W84" s="3"/>
      <c r="X84" s="3"/>
      <c r="Y84" s="3"/>
      <c r="Z84" s="3"/>
    </row>
    <row r="85" spans="1:27" ht="16.5" thickTop="1" thickBot="1" x14ac:dyDescent="0.3">
      <c r="A85" s="78"/>
      <c r="B85" s="78"/>
      <c r="C85" s="78"/>
      <c r="D85" s="78"/>
      <c r="E85" s="3"/>
      <c r="F85" s="58" t="s">
        <v>224</v>
      </c>
      <c r="G85" s="26">
        <f>SUM(G83:G84)</f>
        <v>13435750.460000001</v>
      </c>
      <c r="H85" s="26">
        <f>SUM(H83:H84)</f>
        <v>9135142.629999999</v>
      </c>
      <c r="I85" s="26">
        <f>SUM(I83:I84)</f>
        <v>32292612.171717789</v>
      </c>
      <c r="J85" s="26">
        <f>SUM(J83:J84)</f>
        <v>17503238.93</v>
      </c>
      <c r="K85" s="27">
        <f>SUM(K83:K84)</f>
        <v>11933999.199999999</v>
      </c>
      <c r="L85" s="2"/>
      <c r="M85" s="2"/>
      <c r="N85" s="2"/>
      <c r="O85" s="2"/>
      <c r="P85" s="2"/>
      <c r="Q85" s="2"/>
      <c r="R85" s="2"/>
      <c r="S85" s="3"/>
      <c r="T85" s="3"/>
      <c r="U85" s="3"/>
      <c r="V85" s="3"/>
      <c r="W85" s="3"/>
      <c r="X85" s="3"/>
      <c r="Y85" s="3"/>
      <c r="Z85" s="3"/>
    </row>
    <row r="86" spans="1:27" x14ac:dyDescent="0.25">
      <c r="F86" s="90"/>
      <c r="G86" s="90"/>
      <c r="H86" s="90"/>
      <c r="I86" s="90"/>
      <c r="J86" s="90"/>
      <c r="K86" s="90"/>
    </row>
    <row r="87" spans="1:27" x14ac:dyDescent="0.25">
      <c r="F87" s="90"/>
      <c r="G87" s="92"/>
      <c r="H87" s="92"/>
      <c r="I87" s="92"/>
      <c r="J87" s="92"/>
      <c r="K87" s="92"/>
    </row>
    <row r="88" spans="1:27" x14ac:dyDescent="0.25">
      <c r="AA88" s="138"/>
    </row>
  </sheetData>
  <dataConsolidate/>
  <mergeCells count="15">
    <mergeCell ref="F60:K60"/>
    <mergeCell ref="M20:R20"/>
    <mergeCell ref="M49:R49"/>
    <mergeCell ref="F49:K49"/>
    <mergeCell ref="P53:Q53"/>
    <mergeCell ref="P54:Q54"/>
    <mergeCell ref="P55:Q55"/>
    <mergeCell ref="P56:Q56"/>
    <mergeCell ref="G16:P16"/>
    <mergeCell ref="G17:P17"/>
    <mergeCell ref="H18:O18"/>
    <mergeCell ref="F20:K20"/>
    <mergeCell ref="P52:Q52"/>
    <mergeCell ref="P51:Q51"/>
    <mergeCell ref="P50:Q50"/>
  </mergeCells>
  <phoneticPr fontId="0" type="noConversion"/>
  <pageMargins left="0.75" right="0.75" top="1" bottom="1" header="0.5" footer="0.5"/>
  <pageSetup paperSize="9" scale="4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heetViews>
  <sheetFormatPr defaultRowHeight="12.75" x14ac:dyDescent="0.2"/>
  <sheetData>
    <row r="1" spans="1:6" x14ac:dyDescent="0.2">
      <c r="A1" s="1" t="s">
        <v>474</v>
      </c>
      <c r="C1" s="1" t="s">
        <v>33</v>
      </c>
      <c r="D1" s="1" t="s">
        <v>34</v>
      </c>
      <c r="E1" s="1" t="s">
        <v>183</v>
      </c>
      <c r="F1" s="1" t="s">
        <v>448</v>
      </c>
    </row>
    <row r="3" spans="1:6" x14ac:dyDescent="0.2">
      <c r="C3" s="1" t="s">
        <v>54</v>
      </c>
    </row>
    <row r="5" spans="1:6" x14ac:dyDescent="0.2">
      <c r="A5" s="1" t="s">
        <v>32</v>
      </c>
      <c r="C5" s="1" t="s">
        <v>35</v>
      </c>
      <c r="D5" s="1" t="s">
        <v>467</v>
      </c>
      <c r="F5" s="1" t="s">
        <v>449</v>
      </c>
    </row>
    <row r="6" spans="1:6" x14ac:dyDescent="0.2">
      <c r="A6" s="1" t="s">
        <v>32</v>
      </c>
      <c r="C6" s="1" t="s">
        <v>182</v>
      </c>
      <c r="D6" s="1" t="s">
        <v>468</v>
      </c>
      <c r="E6" s="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heetViews>
  <sheetFormatPr defaultRowHeight="12.75" x14ac:dyDescent="0.2"/>
  <sheetData>
    <row r="1" spans="1:6" x14ac:dyDescent="0.2">
      <c r="A1" s="1" t="s">
        <v>474</v>
      </c>
      <c r="C1" s="1" t="s">
        <v>33</v>
      </c>
      <c r="D1" s="1" t="s">
        <v>34</v>
      </c>
      <c r="E1" s="1" t="s">
        <v>183</v>
      </c>
      <c r="F1" s="1" t="s">
        <v>448</v>
      </c>
    </row>
    <row r="3" spans="1:6" x14ac:dyDescent="0.2">
      <c r="C3" s="1" t="s">
        <v>54</v>
      </c>
    </row>
    <row r="5" spans="1:6" x14ac:dyDescent="0.2">
      <c r="A5" s="1" t="s">
        <v>32</v>
      </c>
      <c r="C5" s="1" t="s">
        <v>35</v>
      </c>
      <c r="D5" s="1" t="s">
        <v>467</v>
      </c>
      <c r="F5" s="1" t="s">
        <v>449</v>
      </c>
    </row>
    <row r="6" spans="1:6" x14ac:dyDescent="0.2">
      <c r="A6" s="1" t="s">
        <v>32</v>
      </c>
      <c r="C6" s="1" t="s">
        <v>182</v>
      </c>
      <c r="D6" s="1" t="s">
        <v>468</v>
      </c>
      <c r="E6" s="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workbookViewId="0"/>
  </sheetViews>
  <sheetFormatPr defaultRowHeight="12.75" x14ac:dyDescent="0.2"/>
  <sheetData>
    <row r="1" spans="1:19" x14ac:dyDescent="0.2">
      <c r="A1" s="1" t="s">
        <v>475</v>
      </c>
      <c r="B1" s="1" t="s">
        <v>21</v>
      </c>
      <c r="C1" s="1" t="s">
        <v>21</v>
      </c>
      <c r="D1" s="1" t="s">
        <v>21</v>
      </c>
      <c r="F1" s="1" t="s">
        <v>36</v>
      </c>
      <c r="G1" s="1" t="s">
        <v>36</v>
      </c>
      <c r="H1" s="1" t="s">
        <v>36</v>
      </c>
      <c r="I1" s="1" t="s">
        <v>36</v>
      </c>
      <c r="J1" s="1" t="s">
        <v>36</v>
      </c>
      <c r="K1" s="1" t="s">
        <v>36</v>
      </c>
      <c r="L1" s="1" t="s">
        <v>36</v>
      </c>
      <c r="N1" s="1" t="s">
        <v>36</v>
      </c>
      <c r="O1" s="1" t="s">
        <v>36</v>
      </c>
      <c r="P1" s="1" t="s">
        <v>36</v>
      </c>
      <c r="Q1" s="1" t="s">
        <v>36</v>
      </c>
      <c r="R1" s="1" t="s">
        <v>36</v>
      </c>
      <c r="S1" s="1" t="s">
        <v>36</v>
      </c>
    </row>
    <row r="2" spans="1:19" x14ac:dyDescent="0.2">
      <c r="A2" s="1" t="s">
        <v>21</v>
      </c>
    </row>
    <row r="3" spans="1:19" x14ac:dyDescent="0.2">
      <c r="A3" s="1" t="s">
        <v>21</v>
      </c>
      <c r="C3" s="1" t="s">
        <v>469</v>
      </c>
    </row>
    <row r="4" spans="1:19" x14ac:dyDescent="0.2">
      <c r="A4" s="1" t="s">
        <v>21</v>
      </c>
      <c r="C4" s="1" t="s">
        <v>69</v>
      </c>
    </row>
    <row r="5" spans="1:19" x14ac:dyDescent="0.2">
      <c r="A5" s="1" t="s">
        <v>21</v>
      </c>
      <c r="C5" s="1" t="s">
        <v>70</v>
      </c>
    </row>
    <row r="6" spans="1:19" x14ac:dyDescent="0.2">
      <c r="A6" s="1" t="s">
        <v>21</v>
      </c>
      <c r="C6" s="1" t="s">
        <v>105</v>
      </c>
    </row>
    <row r="7" spans="1:19" x14ac:dyDescent="0.2">
      <c r="A7" s="1" t="s">
        <v>21</v>
      </c>
      <c r="C7" s="1" t="s">
        <v>71</v>
      </c>
    </row>
    <row r="8" spans="1:19" x14ac:dyDescent="0.2">
      <c r="A8" s="1" t="s">
        <v>21</v>
      </c>
      <c r="C8" s="1" t="s">
        <v>72</v>
      </c>
    </row>
    <row r="9" spans="1:19" x14ac:dyDescent="0.2">
      <c r="A9" s="1" t="s">
        <v>21</v>
      </c>
      <c r="B9" s="1" t="s">
        <v>73</v>
      </c>
      <c r="C9" s="1" t="s">
        <v>74</v>
      </c>
    </row>
    <row r="10" spans="1:19" x14ac:dyDescent="0.2">
      <c r="A10" s="1" t="s">
        <v>21</v>
      </c>
      <c r="B10" s="1" t="s">
        <v>75</v>
      </c>
      <c r="C10" s="1" t="s">
        <v>76</v>
      </c>
      <c r="D10" s="1" t="s">
        <v>442</v>
      </c>
      <c r="M10" s="1" t="s">
        <v>446</v>
      </c>
    </row>
    <row r="11" spans="1:19" x14ac:dyDescent="0.2">
      <c r="A11" s="1" t="s">
        <v>21</v>
      </c>
      <c r="B11" s="1" t="s">
        <v>77</v>
      </c>
      <c r="C11" s="1" t="s">
        <v>470</v>
      </c>
    </row>
    <row r="12" spans="1:19" x14ac:dyDescent="0.2">
      <c r="A12" s="1" t="s">
        <v>21</v>
      </c>
      <c r="B12" s="1" t="s">
        <v>78</v>
      </c>
      <c r="C12" s="1" t="s">
        <v>471</v>
      </c>
    </row>
    <row r="13" spans="1:19" x14ac:dyDescent="0.2">
      <c r="A13" s="1" t="s">
        <v>21</v>
      </c>
      <c r="B13" s="1" t="s">
        <v>79</v>
      </c>
      <c r="C13" s="1" t="s">
        <v>80</v>
      </c>
    </row>
    <row r="14" spans="1:19" x14ac:dyDescent="0.2">
      <c r="A14" s="1" t="s">
        <v>21</v>
      </c>
      <c r="B14" s="1" t="s">
        <v>81</v>
      </c>
      <c r="C14" s="1" t="s">
        <v>82</v>
      </c>
    </row>
    <row r="16" spans="1:19" x14ac:dyDescent="0.2">
      <c r="B16" s="1" t="s">
        <v>67</v>
      </c>
      <c r="C16" s="1" t="s">
        <v>83</v>
      </c>
      <c r="G16" s="1" t="s">
        <v>473</v>
      </c>
    </row>
    <row r="17" spans="1:18" x14ac:dyDescent="0.2">
      <c r="B17" s="1" t="s">
        <v>66</v>
      </c>
      <c r="C17" s="1" t="s">
        <v>106</v>
      </c>
      <c r="G17" s="1" t="s">
        <v>84</v>
      </c>
    </row>
    <row r="18" spans="1:18" x14ac:dyDescent="0.2">
      <c r="C18" s="1" t="s">
        <v>238</v>
      </c>
      <c r="H18" s="1" t="s">
        <v>31</v>
      </c>
    </row>
    <row r="20" spans="1:18" x14ac:dyDescent="0.2">
      <c r="B20" s="1" t="s">
        <v>4</v>
      </c>
      <c r="C20" s="1" t="s">
        <v>472</v>
      </c>
      <c r="F20" s="1" t="s">
        <v>0</v>
      </c>
      <c r="M20" s="1" t="s">
        <v>11</v>
      </c>
    </row>
    <row r="21" spans="1:18" x14ac:dyDescent="0.2">
      <c r="A21" s="1" t="s">
        <v>102</v>
      </c>
      <c r="D21" s="1" t="s">
        <v>103</v>
      </c>
      <c r="G21" s="1" t="s">
        <v>107</v>
      </c>
      <c r="H21" s="1" t="s">
        <v>108</v>
      </c>
      <c r="I21" s="1" t="s">
        <v>107</v>
      </c>
      <c r="J21" s="1" t="s">
        <v>107</v>
      </c>
      <c r="K21" s="1" t="s">
        <v>108</v>
      </c>
      <c r="N21" s="1" t="s">
        <v>150</v>
      </c>
      <c r="O21" s="1" t="s">
        <v>151</v>
      </c>
      <c r="P21" s="1" t="s">
        <v>152</v>
      </c>
      <c r="Q21" s="1" t="s">
        <v>153</v>
      </c>
      <c r="R21" s="1" t="s">
        <v>154</v>
      </c>
    </row>
    <row r="22" spans="1:18" x14ac:dyDescent="0.2">
      <c r="A22" s="1" t="s">
        <v>102</v>
      </c>
      <c r="D22" s="1" t="s">
        <v>104</v>
      </c>
      <c r="G22" s="1" t="s">
        <v>109</v>
      </c>
      <c r="H22" s="1" t="s">
        <v>110</v>
      </c>
      <c r="I22" s="1" t="s">
        <v>111</v>
      </c>
      <c r="J22" s="1" t="s">
        <v>111</v>
      </c>
      <c r="K22" s="1" t="s">
        <v>112</v>
      </c>
      <c r="N22" s="1" t="s">
        <v>155</v>
      </c>
      <c r="O22" s="1" t="s">
        <v>156</v>
      </c>
      <c r="P22" s="1" t="s">
        <v>157</v>
      </c>
      <c r="Q22" s="1" t="s">
        <v>158</v>
      </c>
      <c r="R22" s="1" t="s">
        <v>159</v>
      </c>
    </row>
    <row r="23" spans="1:18" x14ac:dyDescent="0.2">
      <c r="D23" s="1" t="s">
        <v>19</v>
      </c>
      <c r="G23" s="1" t="s">
        <v>77</v>
      </c>
      <c r="H23" s="1" t="s">
        <v>78</v>
      </c>
      <c r="I23" s="1" t="s">
        <v>85</v>
      </c>
      <c r="J23" s="1" t="s">
        <v>79</v>
      </c>
      <c r="K23" s="1" t="s">
        <v>81</v>
      </c>
      <c r="N23" s="1" t="s">
        <v>239</v>
      </c>
      <c r="O23" s="1" t="s">
        <v>240</v>
      </c>
      <c r="P23" s="1" t="s">
        <v>241</v>
      </c>
      <c r="Q23" s="1" t="s">
        <v>242</v>
      </c>
      <c r="R23" s="1" t="s">
        <v>243</v>
      </c>
    </row>
    <row r="24" spans="1:18" x14ac:dyDescent="0.2">
      <c r="G24" s="1" t="s">
        <v>2</v>
      </c>
      <c r="H24" s="1" t="s">
        <v>2</v>
      </c>
      <c r="I24" s="1" t="s">
        <v>3</v>
      </c>
      <c r="J24" s="1" t="s">
        <v>4</v>
      </c>
      <c r="K24" s="1" t="s">
        <v>2</v>
      </c>
      <c r="M24" s="1" t="s">
        <v>14</v>
      </c>
      <c r="N24" s="1" t="s">
        <v>2</v>
      </c>
      <c r="O24" s="1" t="s">
        <v>2</v>
      </c>
      <c r="P24" s="1" t="s">
        <v>3</v>
      </c>
      <c r="Q24" s="1" t="s">
        <v>4</v>
      </c>
      <c r="R24" s="1" t="s">
        <v>2</v>
      </c>
    </row>
    <row r="25" spans="1:18" x14ac:dyDescent="0.2">
      <c r="D25" s="1" t="s">
        <v>86</v>
      </c>
      <c r="F25" s="1" t="s">
        <v>88</v>
      </c>
      <c r="G25" s="1" t="s">
        <v>113</v>
      </c>
      <c r="H25" s="1" t="s">
        <v>114</v>
      </c>
      <c r="I25" s="1" t="s">
        <v>244</v>
      </c>
      <c r="J25" s="1" t="s">
        <v>344</v>
      </c>
      <c r="K25" s="1" t="s">
        <v>115</v>
      </c>
      <c r="M25" s="1" t="s">
        <v>147</v>
      </c>
      <c r="N25" s="1" t="s">
        <v>416</v>
      </c>
      <c r="O25" s="1" t="s">
        <v>417</v>
      </c>
      <c r="P25" s="1" t="s">
        <v>418</v>
      </c>
      <c r="Q25" s="1" t="s">
        <v>419</v>
      </c>
      <c r="R25" s="1" t="s">
        <v>420</v>
      </c>
    </row>
    <row r="26" spans="1:18" x14ac:dyDescent="0.2">
      <c r="D26" s="1" t="s">
        <v>87</v>
      </c>
      <c r="F26" s="1" t="s">
        <v>116</v>
      </c>
      <c r="G26" s="1" t="s">
        <v>117</v>
      </c>
      <c r="H26" s="1" t="s">
        <v>118</v>
      </c>
      <c r="I26" s="1" t="s">
        <v>245</v>
      </c>
      <c r="J26" s="1" t="s">
        <v>345</v>
      </c>
      <c r="K26" s="1" t="s">
        <v>119</v>
      </c>
      <c r="M26" s="1" t="s">
        <v>148</v>
      </c>
      <c r="N26" s="1" t="s">
        <v>421</v>
      </c>
      <c r="O26" s="1" t="s">
        <v>422</v>
      </c>
      <c r="P26" s="1" t="s">
        <v>423</v>
      </c>
      <c r="Q26" s="1" t="s">
        <v>424</v>
      </c>
      <c r="R26" s="1" t="s">
        <v>425</v>
      </c>
    </row>
    <row r="27" spans="1:18" x14ac:dyDescent="0.2">
      <c r="D27" s="1" t="s">
        <v>160</v>
      </c>
      <c r="F27" s="1" t="s">
        <v>162</v>
      </c>
      <c r="G27" s="1" t="s">
        <v>120</v>
      </c>
      <c r="H27" s="1" t="s">
        <v>121</v>
      </c>
      <c r="I27" s="1" t="s">
        <v>246</v>
      </c>
      <c r="J27" s="1" t="s">
        <v>346</v>
      </c>
      <c r="K27" s="1" t="s">
        <v>122</v>
      </c>
      <c r="M27" s="1" t="s">
        <v>14</v>
      </c>
      <c r="N27" s="1" t="s">
        <v>247</v>
      </c>
      <c r="O27" s="1" t="s">
        <v>248</v>
      </c>
      <c r="P27" s="1" t="s">
        <v>249</v>
      </c>
      <c r="Q27" s="1" t="s">
        <v>250</v>
      </c>
      <c r="R27" s="1" t="s">
        <v>251</v>
      </c>
    </row>
    <row r="28" spans="1:18" x14ac:dyDescent="0.2">
      <c r="D28" s="1" t="s">
        <v>161</v>
      </c>
      <c r="F28" s="1" t="s">
        <v>252</v>
      </c>
      <c r="G28" s="1" t="s">
        <v>347</v>
      </c>
      <c r="H28" s="1" t="s">
        <v>348</v>
      </c>
      <c r="I28" s="1" t="s">
        <v>253</v>
      </c>
      <c r="J28" s="1" t="s">
        <v>349</v>
      </c>
      <c r="K28" s="1" t="s">
        <v>350</v>
      </c>
    </row>
    <row r="29" spans="1:18" x14ac:dyDescent="0.2">
      <c r="F29" s="1" t="s">
        <v>20</v>
      </c>
      <c r="G29" s="1" t="s">
        <v>254</v>
      </c>
      <c r="H29" s="1" t="s">
        <v>255</v>
      </c>
      <c r="I29" s="1" t="s">
        <v>256</v>
      </c>
      <c r="J29" s="1" t="s">
        <v>257</v>
      </c>
      <c r="K29" s="1" t="s">
        <v>258</v>
      </c>
      <c r="M29" s="1" t="s">
        <v>149</v>
      </c>
      <c r="N29" s="1" t="s">
        <v>2</v>
      </c>
      <c r="O29" s="1" t="s">
        <v>2</v>
      </c>
      <c r="P29" s="1" t="s">
        <v>3</v>
      </c>
      <c r="Q29" s="1" t="s">
        <v>4</v>
      </c>
      <c r="R29" s="1" t="s">
        <v>2</v>
      </c>
    </row>
    <row r="30" spans="1:18" x14ac:dyDescent="0.2">
      <c r="D30" s="1" t="s">
        <v>89</v>
      </c>
      <c r="F30" s="1" t="s">
        <v>123</v>
      </c>
      <c r="G30" s="1" t="s">
        <v>444</v>
      </c>
      <c r="H30" s="1" t="s">
        <v>124</v>
      </c>
      <c r="I30" s="1" t="s">
        <v>259</v>
      </c>
      <c r="J30" s="1" t="s">
        <v>352</v>
      </c>
      <c r="K30" s="1" t="s">
        <v>445</v>
      </c>
      <c r="M30" s="1" t="s">
        <v>147</v>
      </c>
      <c r="N30" s="1" t="s">
        <v>426</v>
      </c>
      <c r="O30" s="1" t="s">
        <v>427</v>
      </c>
      <c r="P30" s="1" t="s">
        <v>428</v>
      </c>
      <c r="Q30" s="1" t="s">
        <v>429</v>
      </c>
      <c r="R30" s="1" t="s">
        <v>430</v>
      </c>
    </row>
    <row r="31" spans="1:18" x14ac:dyDescent="0.2">
      <c r="D31" s="1" t="s">
        <v>37</v>
      </c>
      <c r="F31" s="1" t="s">
        <v>260</v>
      </c>
      <c r="G31" s="1" t="s">
        <v>351</v>
      </c>
      <c r="H31" s="1" t="s">
        <v>354</v>
      </c>
      <c r="I31" s="1" t="s">
        <v>261</v>
      </c>
      <c r="J31" s="1" t="s">
        <v>355</v>
      </c>
      <c r="K31" s="1" t="s">
        <v>353</v>
      </c>
      <c r="M31" s="1" t="s">
        <v>148</v>
      </c>
      <c r="N31" s="1" t="s">
        <v>431</v>
      </c>
      <c r="O31" s="1" t="s">
        <v>432</v>
      </c>
      <c r="P31" s="1" t="s">
        <v>433</v>
      </c>
      <c r="Q31" s="1" t="s">
        <v>434</v>
      </c>
      <c r="R31" s="1" t="s">
        <v>435</v>
      </c>
    </row>
    <row r="32" spans="1:18" x14ac:dyDescent="0.2">
      <c r="F32" s="1" t="s">
        <v>22</v>
      </c>
      <c r="G32" s="1" t="s">
        <v>262</v>
      </c>
      <c r="H32" s="1" t="s">
        <v>263</v>
      </c>
      <c r="I32" s="1" t="s">
        <v>264</v>
      </c>
      <c r="J32" s="1" t="s">
        <v>265</v>
      </c>
      <c r="K32" s="1" t="s">
        <v>266</v>
      </c>
      <c r="M32" s="1" t="s">
        <v>149</v>
      </c>
      <c r="N32" s="1" t="s">
        <v>436</v>
      </c>
      <c r="O32" s="1" t="s">
        <v>437</v>
      </c>
      <c r="P32" s="1" t="s">
        <v>438</v>
      </c>
      <c r="Q32" s="1" t="s">
        <v>439</v>
      </c>
      <c r="R32" s="1" t="s">
        <v>440</v>
      </c>
    </row>
    <row r="33" spans="4:11" x14ac:dyDescent="0.2">
      <c r="F33" s="1" t="s">
        <v>6</v>
      </c>
      <c r="G33" s="1" t="s">
        <v>267</v>
      </c>
      <c r="H33" s="1" t="s">
        <v>268</v>
      </c>
      <c r="I33" s="1" t="s">
        <v>269</v>
      </c>
      <c r="J33" s="1" t="s">
        <v>270</v>
      </c>
      <c r="K33" s="1" t="s">
        <v>271</v>
      </c>
    </row>
    <row r="34" spans="4:11" x14ac:dyDescent="0.2">
      <c r="D34" s="1" t="s">
        <v>38</v>
      </c>
      <c r="F34" s="1" t="s">
        <v>90</v>
      </c>
      <c r="G34" s="1" t="s">
        <v>125</v>
      </c>
      <c r="H34" s="1" t="s">
        <v>126</v>
      </c>
      <c r="I34" s="1" t="s">
        <v>272</v>
      </c>
      <c r="J34" s="1" t="s">
        <v>356</v>
      </c>
      <c r="K34" s="1" t="s">
        <v>127</v>
      </c>
    </row>
    <row r="35" spans="4:11" x14ac:dyDescent="0.2">
      <c r="D35" s="1" t="s">
        <v>39</v>
      </c>
      <c r="F35" s="1" t="s">
        <v>163</v>
      </c>
      <c r="G35" s="1" t="s">
        <v>164</v>
      </c>
      <c r="H35" s="1" t="s">
        <v>165</v>
      </c>
      <c r="I35" s="1" t="s">
        <v>273</v>
      </c>
      <c r="J35" s="1" t="s">
        <v>357</v>
      </c>
      <c r="K35" s="1" t="s">
        <v>166</v>
      </c>
    </row>
    <row r="36" spans="4:11" x14ac:dyDescent="0.2">
      <c r="D36" s="1" t="s">
        <v>40</v>
      </c>
      <c r="F36" s="1" t="s">
        <v>167</v>
      </c>
      <c r="G36" s="1" t="s">
        <v>168</v>
      </c>
      <c r="H36" s="1" t="s">
        <v>169</v>
      </c>
      <c r="I36" s="1" t="s">
        <v>274</v>
      </c>
      <c r="J36" s="1" t="s">
        <v>358</v>
      </c>
      <c r="K36" s="1" t="s">
        <v>170</v>
      </c>
    </row>
    <row r="37" spans="4:11" x14ac:dyDescent="0.2">
      <c r="D37" s="1" t="s">
        <v>41</v>
      </c>
      <c r="F37" s="1" t="s">
        <v>91</v>
      </c>
      <c r="G37" s="1" t="s">
        <v>128</v>
      </c>
      <c r="H37" s="1" t="s">
        <v>129</v>
      </c>
      <c r="I37" s="1" t="s">
        <v>275</v>
      </c>
      <c r="J37" s="1" t="s">
        <v>359</v>
      </c>
      <c r="K37" s="1" t="s">
        <v>130</v>
      </c>
    </row>
    <row r="38" spans="4:11" x14ac:dyDescent="0.2">
      <c r="D38" s="1" t="s">
        <v>42</v>
      </c>
      <c r="F38" s="1" t="s">
        <v>92</v>
      </c>
      <c r="G38" s="1" t="s">
        <v>131</v>
      </c>
      <c r="H38" s="1" t="s">
        <v>132</v>
      </c>
      <c r="I38" s="1" t="s">
        <v>276</v>
      </c>
      <c r="J38" s="1" t="s">
        <v>360</v>
      </c>
      <c r="K38" s="1" t="s">
        <v>133</v>
      </c>
    </row>
    <row r="39" spans="4:11" x14ac:dyDescent="0.2">
      <c r="D39" s="1" t="s">
        <v>43</v>
      </c>
      <c r="F39" s="1" t="s">
        <v>93</v>
      </c>
      <c r="G39" s="1" t="s">
        <v>134</v>
      </c>
      <c r="H39" s="1" t="s">
        <v>135</v>
      </c>
      <c r="I39" s="1" t="s">
        <v>277</v>
      </c>
      <c r="J39" s="1" t="s">
        <v>361</v>
      </c>
      <c r="K39" s="1" t="s">
        <v>136</v>
      </c>
    </row>
    <row r="40" spans="4:11" x14ac:dyDescent="0.2">
      <c r="D40" s="1" t="s">
        <v>44</v>
      </c>
      <c r="F40" s="1" t="s">
        <v>278</v>
      </c>
      <c r="G40" s="1" t="s">
        <v>362</v>
      </c>
      <c r="H40" s="1" t="s">
        <v>363</v>
      </c>
      <c r="I40" s="1" t="s">
        <v>279</v>
      </c>
      <c r="J40" s="1" t="s">
        <v>364</v>
      </c>
      <c r="K40" s="1" t="s">
        <v>365</v>
      </c>
    </row>
    <row r="41" spans="4:11" x14ac:dyDescent="0.2">
      <c r="F41" s="1" t="s">
        <v>23</v>
      </c>
      <c r="G41" s="1" t="s">
        <v>280</v>
      </c>
      <c r="H41" s="1" t="s">
        <v>281</v>
      </c>
      <c r="I41" s="1" t="s">
        <v>282</v>
      </c>
      <c r="J41" s="1" t="s">
        <v>283</v>
      </c>
      <c r="K41" s="1" t="s">
        <v>284</v>
      </c>
    </row>
    <row r="42" spans="4:11" x14ac:dyDescent="0.2">
      <c r="F42" s="1" t="s">
        <v>8</v>
      </c>
      <c r="G42" s="1" t="s">
        <v>285</v>
      </c>
      <c r="H42" s="1" t="s">
        <v>286</v>
      </c>
      <c r="I42" s="1" t="s">
        <v>287</v>
      </c>
      <c r="J42" s="1" t="s">
        <v>288</v>
      </c>
      <c r="K42" s="1" t="s">
        <v>289</v>
      </c>
    </row>
    <row r="43" spans="4:11" x14ac:dyDescent="0.2">
      <c r="D43" s="1" t="s">
        <v>171</v>
      </c>
      <c r="F43" s="1" t="s">
        <v>137</v>
      </c>
      <c r="G43" s="1" t="s">
        <v>138</v>
      </c>
      <c r="H43" s="1" t="s">
        <v>139</v>
      </c>
      <c r="I43" s="1" t="s">
        <v>290</v>
      </c>
      <c r="J43" s="1" t="s">
        <v>366</v>
      </c>
      <c r="K43" s="1" t="s">
        <v>140</v>
      </c>
    </row>
    <row r="44" spans="4:11" x14ac:dyDescent="0.2">
      <c r="D44" s="1" t="s">
        <v>172</v>
      </c>
      <c r="F44" s="1" t="s">
        <v>141</v>
      </c>
      <c r="G44" s="1" t="s">
        <v>142</v>
      </c>
      <c r="H44" s="1" t="s">
        <v>143</v>
      </c>
      <c r="I44" s="1" t="s">
        <v>291</v>
      </c>
      <c r="J44" s="1" t="s">
        <v>367</v>
      </c>
      <c r="K44" s="1" t="s">
        <v>144</v>
      </c>
    </row>
    <row r="45" spans="4:11" x14ac:dyDescent="0.2">
      <c r="D45" s="1" t="s">
        <v>173</v>
      </c>
      <c r="F45" s="1" t="s">
        <v>292</v>
      </c>
      <c r="G45" s="1" t="s">
        <v>368</v>
      </c>
      <c r="H45" s="1" t="s">
        <v>369</v>
      </c>
      <c r="I45" s="1" t="s">
        <v>293</v>
      </c>
      <c r="J45" s="1" t="s">
        <v>370</v>
      </c>
      <c r="K45" s="1" t="s">
        <v>371</v>
      </c>
    </row>
    <row r="46" spans="4:11" x14ac:dyDescent="0.2">
      <c r="F46" s="1" t="s">
        <v>9</v>
      </c>
      <c r="G46" s="1" t="s">
        <v>294</v>
      </c>
      <c r="H46" s="1" t="s">
        <v>295</v>
      </c>
      <c r="I46" s="1" t="s">
        <v>296</v>
      </c>
      <c r="J46" s="1" t="s">
        <v>297</v>
      </c>
      <c r="K46" s="1" t="s">
        <v>298</v>
      </c>
    </row>
    <row r="49" spans="1:18" x14ac:dyDescent="0.2">
      <c r="F49" s="1" t="s">
        <v>1</v>
      </c>
      <c r="M49" s="1" t="s">
        <v>68</v>
      </c>
    </row>
    <row r="50" spans="1:18" x14ac:dyDescent="0.2">
      <c r="G50" s="1" t="s">
        <v>239</v>
      </c>
      <c r="H50" s="1" t="s">
        <v>240</v>
      </c>
      <c r="I50" s="1" t="s">
        <v>299</v>
      </c>
      <c r="J50" s="1" t="s">
        <v>300</v>
      </c>
      <c r="K50" s="1" t="s">
        <v>301</v>
      </c>
      <c r="N50" s="1" t="s">
        <v>174</v>
      </c>
      <c r="O50" s="1" t="s">
        <v>175</v>
      </c>
      <c r="P50" s="1" t="s">
        <v>397</v>
      </c>
      <c r="R50" s="1" t="s">
        <v>398</v>
      </c>
    </row>
    <row r="51" spans="1:18" x14ac:dyDescent="0.2">
      <c r="A51" s="1" t="s">
        <v>102</v>
      </c>
    </row>
    <row r="52" spans="1:18" x14ac:dyDescent="0.2">
      <c r="C52" s="1" t="s">
        <v>399</v>
      </c>
      <c r="D52" s="1" t="s">
        <v>176</v>
      </c>
      <c r="G52" s="1" t="s">
        <v>2</v>
      </c>
      <c r="H52" s="1" t="s">
        <v>2</v>
      </c>
      <c r="I52" s="1" t="s">
        <v>3</v>
      </c>
      <c r="J52" s="1" t="s">
        <v>4</v>
      </c>
      <c r="K52" s="1" t="s">
        <v>2</v>
      </c>
      <c r="M52" s="1" t="s">
        <v>30</v>
      </c>
      <c r="N52" s="1" t="s">
        <v>400</v>
      </c>
      <c r="O52" s="1" t="s">
        <v>401</v>
      </c>
      <c r="P52" s="1" t="s">
        <v>402</v>
      </c>
      <c r="R52" s="1" t="s">
        <v>403</v>
      </c>
    </row>
    <row r="54" spans="1:18" x14ac:dyDescent="0.2">
      <c r="C54" s="1" t="s">
        <v>302</v>
      </c>
      <c r="D54" s="1" t="s">
        <v>177</v>
      </c>
      <c r="F54" s="1" t="s">
        <v>5</v>
      </c>
      <c r="G54" s="1" t="s">
        <v>303</v>
      </c>
      <c r="H54" s="1" t="s">
        <v>304</v>
      </c>
      <c r="I54" s="1" t="s">
        <v>305</v>
      </c>
      <c r="J54" s="1" t="s">
        <v>306</v>
      </c>
      <c r="K54" s="1" t="s">
        <v>307</v>
      </c>
      <c r="M54" s="1" t="s">
        <v>10</v>
      </c>
      <c r="N54" s="1" t="s">
        <v>404</v>
      </c>
      <c r="O54" s="1" t="s">
        <v>405</v>
      </c>
      <c r="P54" s="1" t="s">
        <v>406</v>
      </c>
      <c r="R54" s="1" t="s">
        <v>407</v>
      </c>
    </row>
    <row r="56" spans="1:18" x14ac:dyDescent="0.2">
      <c r="C56" s="1" t="s">
        <v>308</v>
      </c>
      <c r="D56" s="1" t="s">
        <v>178</v>
      </c>
      <c r="F56" s="1" t="s">
        <v>441</v>
      </c>
      <c r="G56" s="1" t="s">
        <v>408</v>
      </c>
      <c r="H56" s="1" t="s">
        <v>409</v>
      </c>
      <c r="M56" s="1" t="s">
        <v>12</v>
      </c>
      <c r="N56" s="1" t="s">
        <v>410</v>
      </c>
      <c r="O56" s="1" t="s">
        <v>411</v>
      </c>
      <c r="P56" s="1" t="s">
        <v>412</v>
      </c>
      <c r="R56" s="1" t="s">
        <v>413</v>
      </c>
    </row>
    <row r="58" spans="1:18" x14ac:dyDescent="0.2">
      <c r="F58" s="1" t="s">
        <v>7</v>
      </c>
      <c r="G58" s="1" t="s">
        <v>414</v>
      </c>
      <c r="H58" s="1" t="s">
        <v>415</v>
      </c>
    </row>
    <row r="60" spans="1:18" x14ac:dyDescent="0.2">
      <c r="F60" s="1" t="s">
        <v>13</v>
      </c>
    </row>
    <row r="61" spans="1:18" x14ac:dyDescent="0.2">
      <c r="G61" s="1" t="s">
        <v>94</v>
      </c>
      <c r="H61" s="1" t="s">
        <v>95</v>
      </c>
      <c r="I61" s="1" t="s">
        <v>241</v>
      </c>
      <c r="J61" s="1" t="s">
        <v>242</v>
      </c>
      <c r="K61" s="1" t="s">
        <v>243</v>
      </c>
    </row>
    <row r="62" spans="1:18" x14ac:dyDescent="0.2">
      <c r="G62" s="1" t="s">
        <v>2</v>
      </c>
      <c r="H62" s="1" t="s">
        <v>2</v>
      </c>
      <c r="I62" s="1" t="s">
        <v>3</v>
      </c>
      <c r="J62" s="1" t="s">
        <v>4</v>
      </c>
      <c r="K62" s="1" t="s">
        <v>2</v>
      </c>
    </row>
    <row r="63" spans="1:18" x14ac:dyDescent="0.2">
      <c r="D63" s="1" t="s">
        <v>45</v>
      </c>
      <c r="F63" s="1" t="s">
        <v>309</v>
      </c>
      <c r="G63" s="1" t="s">
        <v>372</v>
      </c>
      <c r="H63" s="1" t="s">
        <v>373</v>
      </c>
      <c r="I63" s="1" t="s">
        <v>374</v>
      </c>
      <c r="J63" s="1" t="s">
        <v>375</v>
      </c>
      <c r="K63" s="1" t="s">
        <v>376</v>
      </c>
    </row>
    <row r="64" spans="1:18" x14ac:dyDescent="0.2">
      <c r="F64" s="1" t="s">
        <v>25</v>
      </c>
    </row>
    <row r="65" spans="4:11" x14ac:dyDescent="0.2">
      <c r="D65" s="1" t="s">
        <v>24</v>
      </c>
      <c r="F65" s="1" t="s">
        <v>179</v>
      </c>
      <c r="G65" s="1" t="s">
        <v>185</v>
      </c>
      <c r="H65" s="1" t="s">
        <v>186</v>
      </c>
      <c r="I65" s="1" t="s">
        <v>187</v>
      </c>
      <c r="J65" s="1" t="s">
        <v>188</v>
      </c>
      <c r="K65" s="1" t="s">
        <v>189</v>
      </c>
    </row>
    <row r="66" spans="4:11" x14ac:dyDescent="0.2">
      <c r="D66" s="1" t="s">
        <v>46</v>
      </c>
      <c r="F66" s="1" t="s">
        <v>96</v>
      </c>
      <c r="G66" s="1" t="s">
        <v>190</v>
      </c>
      <c r="H66" s="1" t="s">
        <v>191</v>
      </c>
      <c r="I66" s="1" t="s">
        <v>192</v>
      </c>
      <c r="J66" s="1" t="s">
        <v>193</v>
      </c>
      <c r="K66" s="1" t="s">
        <v>194</v>
      </c>
    </row>
    <row r="67" spans="4:11" x14ac:dyDescent="0.2">
      <c r="D67" s="1" t="s">
        <v>47</v>
      </c>
      <c r="F67" s="1" t="s">
        <v>97</v>
      </c>
      <c r="G67" s="1" t="s">
        <v>195</v>
      </c>
      <c r="H67" s="1" t="s">
        <v>196</v>
      </c>
      <c r="I67" s="1" t="s">
        <v>197</v>
      </c>
      <c r="J67" s="1" t="s">
        <v>198</v>
      </c>
      <c r="K67" s="1" t="s">
        <v>199</v>
      </c>
    </row>
    <row r="68" spans="4:11" x14ac:dyDescent="0.2">
      <c r="D68" s="1" t="s">
        <v>48</v>
      </c>
      <c r="F68" s="1" t="s">
        <v>98</v>
      </c>
      <c r="G68" s="1" t="s">
        <v>226</v>
      </c>
      <c r="H68" s="1" t="s">
        <v>227</v>
      </c>
      <c r="I68" s="1" t="s">
        <v>228</v>
      </c>
      <c r="J68" s="1" t="s">
        <v>229</v>
      </c>
      <c r="K68" s="1" t="s">
        <v>230</v>
      </c>
    </row>
    <row r="69" spans="4:11" x14ac:dyDescent="0.2">
      <c r="D69" s="1" t="s">
        <v>225</v>
      </c>
      <c r="F69" s="1" t="s">
        <v>99</v>
      </c>
      <c r="G69" s="1" t="s">
        <v>200</v>
      </c>
      <c r="H69" s="1" t="s">
        <v>201</v>
      </c>
      <c r="I69" s="1" t="s">
        <v>202</v>
      </c>
      <c r="J69" s="1" t="s">
        <v>203</v>
      </c>
      <c r="K69" s="1" t="s">
        <v>204</v>
      </c>
    </row>
    <row r="70" spans="4:11" x14ac:dyDescent="0.2">
      <c r="D70" s="1" t="s">
        <v>49</v>
      </c>
      <c r="F70" s="1" t="s">
        <v>100</v>
      </c>
      <c r="G70" s="1" t="s">
        <v>205</v>
      </c>
      <c r="H70" s="1" t="s">
        <v>206</v>
      </c>
      <c r="I70" s="1" t="s">
        <v>207</v>
      </c>
      <c r="J70" s="1" t="s">
        <v>208</v>
      </c>
      <c r="K70" s="1" t="s">
        <v>209</v>
      </c>
    </row>
    <row r="71" spans="4:11" x14ac:dyDescent="0.2">
      <c r="D71" s="1" t="s">
        <v>50</v>
      </c>
      <c r="F71" s="1" t="s">
        <v>101</v>
      </c>
      <c r="G71" s="1" t="s">
        <v>210</v>
      </c>
      <c r="H71" s="1" t="s">
        <v>211</v>
      </c>
      <c r="I71" s="1" t="s">
        <v>212</v>
      </c>
      <c r="J71" s="1" t="s">
        <v>213</v>
      </c>
      <c r="K71" s="1" t="s">
        <v>214</v>
      </c>
    </row>
    <row r="72" spans="4:11" x14ac:dyDescent="0.2">
      <c r="D72" s="1" t="s">
        <v>51</v>
      </c>
      <c r="F72" s="1" t="s">
        <v>145</v>
      </c>
      <c r="G72" s="1" t="s">
        <v>215</v>
      </c>
      <c r="H72" s="1" t="s">
        <v>216</v>
      </c>
      <c r="I72" s="1" t="s">
        <v>217</v>
      </c>
      <c r="J72" s="1" t="s">
        <v>218</v>
      </c>
      <c r="K72" s="1" t="s">
        <v>219</v>
      </c>
    </row>
    <row r="73" spans="4:11" x14ac:dyDescent="0.2">
      <c r="D73" s="1" t="s">
        <v>52</v>
      </c>
      <c r="F73" s="1" t="s">
        <v>310</v>
      </c>
      <c r="G73" s="1" t="s">
        <v>377</v>
      </c>
      <c r="H73" s="1" t="s">
        <v>378</v>
      </c>
      <c r="I73" s="1" t="s">
        <v>379</v>
      </c>
      <c r="J73" s="1" t="s">
        <v>380</v>
      </c>
      <c r="K73" s="1" t="s">
        <v>381</v>
      </c>
    </row>
    <row r="74" spans="4:11" x14ac:dyDescent="0.2">
      <c r="F74" s="1" t="s">
        <v>15</v>
      </c>
      <c r="G74" s="1" t="s">
        <v>311</v>
      </c>
      <c r="H74" s="1" t="s">
        <v>312</v>
      </c>
      <c r="I74" s="1" t="s">
        <v>313</v>
      </c>
      <c r="J74" s="1" t="s">
        <v>314</v>
      </c>
      <c r="K74" s="1" t="s">
        <v>315</v>
      </c>
    </row>
    <row r="75" spans="4:11" x14ac:dyDescent="0.2">
      <c r="D75" s="1" t="s">
        <v>26</v>
      </c>
      <c r="F75" s="1" t="s">
        <v>180</v>
      </c>
      <c r="G75" s="1" t="s">
        <v>220</v>
      </c>
      <c r="H75" s="1" t="s">
        <v>221</v>
      </c>
      <c r="I75" s="1" t="s">
        <v>316</v>
      </c>
      <c r="J75" s="1" t="s">
        <v>382</v>
      </c>
      <c r="K75" s="1" t="s">
        <v>222</v>
      </c>
    </row>
    <row r="76" spans="4:11" x14ac:dyDescent="0.2">
      <c r="D76" s="1" t="s">
        <v>27</v>
      </c>
      <c r="F76" s="1" t="s">
        <v>317</v>
      </c>
      <c r="G76" s="1" t="s">
        <v>383</v>
      </c>
      <c r="H76" s="1" t="s">
        <v>384</v>
      </c>
      <c r="I76" s="1" t="s">
        <v>318</v>
      </c>
      <c r="J76" s="1" t="s">
        <v>385</v>
      </c>
      <c r="K76" s="1" t="s">
        <v>386</v>
      </c>
    </row>
    <row r="77" spans="4:11" x14ac:dyDescent="0.2">
      <c r="F77" s="1" t="s">
        <v>16</v>
      </c>
      <c r="G77" s="1" t="s">
        <v>319</v>
      </c>
      <c r="H77" s="1" t="s">
        <v>320</v>
      </c>
      <c r="I77" s="1" t="s">
        <v>321</v>
      </c>
      <c r="J77" s="1" t="s">
        <v>322</v>
      </c>
      <c r="K77" s="1" t="s">
        <v>323</v>
      </c>
    </row>
    <row r="78" spans="4:11" x14ac:dyDescent="0.2">
      <c r="D78" s="1" t="s">
        <v>28</v>
      </c>
      <c r="F78" s="1" t="s">
        <v>181</v>
      </c>
      <c r="G78" s="1" t="s">
        <v>232</v>
      </c>
      <c r="H78" s="1" t="s">
        <v>233</v>
      </c>
      <c r="I78" s="1" t="s">
        <v>324</v>
      </c>
      <c r="J78" s="1" t="s">
        <v>387</v>
      </c>
      <c r="K78" s="1" t="s">
        <v>234</v>
      </c>
    </row>
    <row r="79" spans="4:11" x14ac:dyDescent="0.2">
      <c r="D79" s="1" t="s">
        <v>231</v>
      </c>
      <c r="F79" s="1" t="s">
        <v>146</v>
      </c>
      <c r="G79" s="1" t="s">
        <v>235</v>
      </c>
      <c r="H79" s="1" t="s">
        <v>236</v>
      </c>
      <c r="I79" s="1" t="s">
        <v>325</v>
      </c>
      <c r="J79" s="1" t="s">
        <v>388</v>
      </c>
      <c r="K79" s="1" t="s">
        <v>237</v>
      </c>
    </row>
    <row r="80" spans="4:11" x14ac:dyDescent="0.2">
      <c r="D80" s="1" t="s">
        <v>53</v>
      </c>
      <c r="F80" s="1" t="s">
        <v>326</v>
      </c>
      <c r="G80" s="1" t="s">
        <v>389</v>
      </c>
      <c r="H80" s="1" t="s">
        <v>390</v>
      </c>
      <c r="I80" s="1" t="s">
        <v>327</v>
      </c>
      <c r="J80" s="1" t="s">
        <v>391</v>
      </c>
      <c r="K80" s="1" t="s">
        <v>392</v>
      </c>
    </row>
    <row r="81" spans="4:11" x14ac:dyDescent="0.2">
      <c r="F81" s="1" t="s">
        <v>17</v>
      </c>
      <c r="G81" s="1" t="s">
        <v>328</v>
      </c>
      <c r="H81" s="1" t="s">
        <v>329</v>
      </c>
      <c r="I81" s="1" t="s">
        <v>330</v>
      </c>
      <c r="J81" s="1" t="s">
        <v>331</v>
      </c>
      <c r="K81" s="1" t="s">
        <v>332</v>
      </c>
    </row>
    <row r="83" spans="4:11" x14ac:dyDescent="0.2">
      <c r="F83" s="1" t="s">
        <v>18</v>
      </c>
      <c r="G83" s="1" t="s">
        <v>333</v>
      </c>
      <c r="H83" s="1" t="s">
        <v>334</v>
      </c>
      <c r="I83" s="1" t="s">
        <v>335</v>
      </c>
      <c r="J83" s="1" t="s">
        <v>336</v>
      </c>
      <c r="K83" s="1" t="s">
        <v>337</v>
      </c>
    </row>
    <row r="84" spans="4:11" x14ac:dyDescent="0.2">
      <c r="D84" s="1" t="s">
        <v>29</v>
      </c>
      <c r="F84" s="1" t="s">
        <v>223</v>
      </c>
      <c r="G84" s="1" t="s">
        <v>393</v>
      </c>
      <c r="H84" s="1" t="s">
        <v>394</v>
      </c>
      <c r="I84" s="1" t="s">
        <v>338</v>
      </c>
      <c r="J84" s="1" t="s">
        <v>395</v>
      </c>
      <c r="K84" s="1" t="s">
        <v>396</v>
      </c>
    </row>
    <row r="85" spans="4:11" x14ac:dyDescent="0.2">
      <c r="F85" s="1" t="s">
        <v>224</v>
      </c>
      <c r="G85" s="1" t="s">
        <v>339</v>
      </c>
      <c r="H85" s="1" t="s">
        <v>340</v>
      </c>
      <c r="I85" s="1" t="s">
        <v>341</v>
      </c>
      <c r="J85" s="1" t="s">
        <v>342</v>
      </c>
      <c r="K85" s="1" t="s">
        <v>343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workbookViewId="0"/>
  </sheetViews>
  <sheetFormatPr defaultRowHeight="12.75" x14ac:dyDescent="0.2"/>
  <sheetData>
    <row r="1" spans="1:19" x14ac:dyDescent="0.2">
      <c r="A1" s="1" t="s">
        <v>475</v>
      </c>
      <c r="B1" s="1" t="s">
        <v>21</v>
      </c>
      <c r="C1" s="1" t="s">
        <v>21</v>
      </c>
      <c r="D1" s="1" t="s">
        <v>21</v>
      </c>
      <c r="F1" s="1" t="s">
        <v>36</v>
      </c>
      <c r="G1" s="1" t="s">
        <v>36</v>
      </c>
      <c r="H1" s="1" t="s">
        <v>36</v>
      </c>
      <c r="I1" s="1" t="s">
        <v>36</v>
      </c>
      <c r="J1" s="1" t="s">
        <v>36</v>
      </c>
      <c r="K1" s="1" t="s">
        <v>36</v>
      </c>
      <c r="L1" s="1" t="s">
        <v>36</v>
      </c>
      <c r="N1" s="1" t="s">
        <v>36</v>
      </c>
      <c r="O1" s="1" t="s">
        <v>36</v>
      </c>
      <c r="P1" s="1" t="s">
        <v>36</v>
      </c>
      <c r="Q1" s="1" t="s">
        <v>36</v>
      </c>
      <c r="R1" s="1" t="s">
        <v>36</v>
      </c>
      <c r="S1" s="1" t="s">
        <v>36</v>
      </c>
    </row>
    <row r="2" spans="1:19" x14ac:dyDescent="0.2">
      <c r="A2" s="1" t="s">
        <v>21</v>
      </c>
    </row>
    <row r="3" spans="1:19" x14ac:dyDescent="0.2">
      <c r="A3" s="1" t="s">
        <v>21</v>
      </c>
      <c r="C3" s="1" t="s">
        <v>469</v>
      </c>
    </row>
    <row r="4" spans="1:19" x14ac:dyDescent="0.2">
      <c r="A4" s="1" t="s">
        <v>21</v>
      </c>
      <c r="C4" s="1" t="s">
        <v>69</v>
      </c>
    </row>
    <row r="5" spans="1:19" x14ac:dyDescent="0.2">
      <c r="A5" s="1" t="s">
        <v>21</v>
      </c>
      <c r="C5" s="1" t="s">
        <v>70</v>
      </c>
    </row>
    <row r="6" spans="1:19" x14ac:dyDescent="0.2">
      <c r="A6" s="1" t="s">
        <v>21</v>
      </c>
      <c r="C6" s="1" t="s">
        <v>105</v>
      </c>
    </row>
    <row r="7" spans="1:19" x14ac:dyDescent="0.2">
      <c r="A7" s="1" t="s">
        <v>21</v>
      </c>
      <c r="C7" s="1" t="s">
        <v>71</v>
      </c>
    </row>
    <row r="8" spans="1:19" x14ac:dyDescent="0.2">
      <c r="A8" s="1" t="s">
        <v>21</v>
      </c>
      <c r="C8" s="1" t="s">
        <v>72</v>
      </c>
    </row>
    <row r="9" spans="1:19" x14ac:dyDescent="0.2">
      <c r="A9" s="1" t="s">
        <v>21</v>
      </c>
      <c r="B9" s="1" t="s">
        <v>73</v>
      </c>
      <c r="C9" s="1" t="s">
        <v>74</v>
      </c>
    </row>
    <row r="10" spans="1:19" x14ac:dyDescent="0.2">
      <c r="A10" s="1" t="s">
        <v>21</v>
      </c>
      <c r="B10" s="1" t="s">
        <v>75</v>
      </c>
      <c r="C10" s="1" t="s">
        <v>76</v>
      </c>
      <c r="D10" s="1" t="s">
        <v>442</v>
      </c>
      <c r="M10" s="1" t="s">
        <v>446</v>
      </c>
    </row>
    <row r="11" spans="1:19" x14ac:dyDescent="0.2">
      <c r="A11" s="1" t="s">
        <v>21</v>
      </c>
      <c r="B11" s="1" t="s">
        <v>77</v>
      </c>
      <c r="C11" s="1" t="s">
        <v>470</v>
      </c>
    </row>
    <row r="12" spans="1:19" x14ac:dyDescent="0.2">
      <c r="A12" s="1" t="s">
        <v>21</v>
      </c>
      <c r="B12" s="1" t="s">
        <v>78</v>
      </c>
      <c r="C12" s="1" t="s">
        <v>471</v>
      </c>
    </row>
    <row r="13" spans="1:19" x14ac:dyDescent="0.2">
      <c r="A13" s="1" t="s">
        <v>21</v>
      </c>
      <c r="B13" s="1" t="s">
        <v>79</v>
      </c>
      <c r="C13" s="1" t="s">
        <v>80</v>
      </c>
    </row>
    <row r="14" spans="1:19" x14ac:dyDescent="0.2">
      <c r="A14" s="1" t="s">
        <v>21</v>
      </c>
      <c r="B14" s="1" t="s">
        <v>81</v>
      </c>
      <c r="C14" s="1" t="s">
        <v>82</v>
      </c>
    </row>
    <row r="16" spans="1:19" x14ac:dyDescent="0.2">
      <c r="B16" s="1" t="s">
        <v>67</v>
      </c>
      <c r="C16" s="1" t="s">
        <v>83</v>
      </c>
      <c r="G16" s="1" t="s">
        <v>473</v>
      </c>
    </row>
    <row r="17" spans="1:18" x14ac:dyDescent="0.2">
      <c r="B17" s="1" t="s">
        <v>66</v>
      </c>
      <c r="C17" s="1" t="s">
        <v>106</v>
      </c>
      <c r="G17" s="1" t="s">
        <v>84</v>
      </c>
    </row>
    <row r="18" spans="1:18" x14ac:dyDescent="0.2">
      <c r="C18" s="1" t="s">
        <v>238</v>
      </c>
      <c r="H18" s="1" t="s">
        <v>31</v>
      </c>
    </row>
    <row r="20" spans="1:18" x14ac:dyDescent="0.2">
      <c r="B20" s="1" t="s">
        <v>4</v>
      </c>
      <c r="C20" s="1" t="s">
        <v>472</v>
      </c>
      <c r="F20" s="1" t="s">
        <v>0</v>
      </c>
      <c r="M20" s="1" t="s">
        <v>11</v>
      </c>
    </row>
    <row r="21" spans="1:18" x14ac:dyDescent="0.2">
      <c r="A21" s="1" t="s">
        <v>102</v>
      </c>
      <c r="D21" s="1" t="s">
        <v>103</v>
      </c>
      <c r="G21" s="1" t="s">
        <v>107</v>
      </c>
      <c r="H21" s="1" t="s">
        <v>108</v>
      </c>
      <c r="I21" s="1" t="s">
        <v>107</v>
      </c>
      <c r="J21" s="1" t="s">
        <v>107</v>
      </c>
      <c r="K21" s="1" t="s">
        <v>108</v>
      </c>
      <c r="N21" s="1" t="s">
        <v>150</v>
      </c>
      <c r="O21" s="1" t="s">
        <v>151</v>
      </c>
      <c r="P21" s="1" t="s">
        <v>152</v>
      </c>
      <c r="Q21" s="1" t="s">
        <v>153</v>
      </c>
      <c r="R21" s="1" t="s">
        <v>154</v>
      </c>
    </row>
    <row r="22" spans="1:18" x14ac:dyDescent="0.2">
      <c r="A22" s="1" t="s">
        <v>102</v>
      </c>
      <c r="D22" s="1" t="s">
        <v>104</v>
      </c>
      <c r="G22" s="1" t="s">
        <v>109</v>
      </c>
      <c r="H22" s="1" t="s">
        <v>110</v>
      </c>
      <c r="I22" s="1" t="s">
        <v>111</v>
      </c>
      <c r="J22" s="1" t="s">
        <v>111</v>
      </c>
      <c r="K22" s="1" t="s">
        <v>112</v>
      </c>
      <c r="N22" s="1" t="s">
        <v>155</v>
      </c>
      <c r="O22" s="1" t="s">
        <v>156</v>
      </c>
      <c r="P22" s="1" t="s">
        <v>157</v>
      </c>
      <c r="Q22" s="1" t="s">
        <v>158</v>
      </c>
      <c r="R22" s="1" t="s">
        <v>159</v>
      </c>
    </row>
    <row r="23" spans="1:18" x14ac:dyDescent="0.2">
      <c r="D23" s="1" t="s">
        <v>19</v>
      </c>
      <c r="G23" s="1" t="s">
        <v>77</v>
      </c>
      <c r="H23" s="1" t="s">
        <v>78</v>
      </c>
      <c r="I23" s="1" t="s">
        <v>85</v>
      </c>
      <c r="J23" s="1" t="s">
        <v>79</v>
      </c>
      <c r="K23" s="1" t="s">
        <v>81</v>
      </c>
      <c r="N23" s="1" t="s">
        <v>239</v>
      </c>
      <c r="O23" s="1" t="s">
        <v>240</v>
      </c>
      <c r="P23" s="1" t="s">
        <v>241</v>
      </c>
      <c r="Q23" s="1" t="s">
        <v>242</v>
      </c>
      <c r="R23" s="1" t="s">
        <v>243</v>
      </c>
    </row>
    <row r="24" spans="1:18" x14ac:dyDescent="0.2">
      <c r="G24" s="1" t="s">
        <v>2</v>
      </c>
      <c r="H24" s="1" t="s">
        <v>2</v>
      </c>
      <c r="I24" s="1" t="s">
        <v>3</v>
      </c>
      <c r="J24" s="1" t="s">
        <v>4</v>
      </c>
      <c r="K24" s="1" t="s">
        <v>2</v>
      </c>
      <c r="M24" s="1" t="s">
        <v>14</v>
      </c>
      <c r="N24" s="1" t="s">
        <v>2</v>
      </c>
      <c r="O24" s="1" t="s">
        <v>2</v>
      </c>
      <c r="P24" s="1" t="s">
        <v>3</v>
      </c>
      <c r="Q24" s="1" t="s">
        <v>4</v>
      </c>
      <c r="R24" s="1" t="s">
        <v>2</v>
      </c>
    </row>
    <row r="25" spans="1:18" x14ac:dyDescent="0.2">
      <c r="D25" s="1" t="s">
        <v>86</v>
      </c>
      <c r="F25" s="1" t="s">
        <v>466</v>
      </c>
      <c r="G25" s="1" t="s">
        <v>466</v>
      </c>
      <c r="H25" s="1" t="s">
        <v>466</v>
      </c>
      <c r="I25" s="1" t="s">
        <v>244</v>
      </c>
      <c r="J25" s="1" t="s">
        <v>466</v>
      </c>
      <c r="K25" s="1" t="s">
        <v>466</v>
      </c>
      <c r="M25" s="1" t="s">
        <v>147</v>
      </c>
      <c r="N25" s="1" t="s">
        <v>416</v>
      </c>
      <c r="O25" s="1" t="s">
        <v>417</v>
      </c>
      <c r="P25" s="1" t="s">
        <v>418</v>
      </c>
      <c r="Q25" s="1" t="s">
        <v>419</v>
      </c>
      <c r="R25" s="1" t="s">
        <v>420</v>
      </c>
    </row>
    <row r="26" spans="1:18" x14ac:dyDescent="0.2">
      <c r="D26" s="1" t="s">
        <v>87</v>
      </c>
      <c r="F26" s="1" t="s">
        <v>466</v>
      </c>
      <c r="G26" s="1" t="s">
        <v>466</v>
      </c>
      <c r="H26" s="1" t="s">
        <v>466</v>
      </c>
      <c r="I26" s="1" t="s">
        <v>245</v>
      </c>
      <c r="J26" s="1" t="s">
        <v>466</v>
      </c>
      <c r="K26" s="1" t="s">
        <v>466</v>
      </c>
      <c r="M26" s="1" t="s">
        <v>148</v>
      </c>
      <c r="N26" s="1" t="s">
        <v>421</v>
      </c>
      <c r="O26" s="1" t="s">
        <v>422</v>
      </c>
      <c r="P26" s="1" t="s">
        <v>423</v>
      </c>
      <c r="Q26" s="1" t="s">
        <v>424</v>
      </c>
      <c r="R26" s="1" t="s">
        <v>425</v>
      </c>
    </row>
    <row r="27" spans="1:18" x14ac:dyDescent="0.2">
      <c r="D27" s="1" t="s">
        <v>160</v>
      </c>
      <c r="F27" s="1" t="s">
        <v>466</v>
      </c>
      <c r="G27" s="1" t="s">
        <v>466</v>
      </c>
      <c r="H27" s="1" t="s">
        <v>466</v>
      </c>
      <c r="I27" s="1" t="s">
        <v>246</v>
      </c>
      <c r="J27" s="1" t="s">
        <v>466</v>
      </c>
      <c r="K27" s="1" t="s">
        <v>466</v>
      </c>
      <c r="M27" s="1" t="s">
        <v>14</v>
      </c>
      <c r="N27" s="1" t="s">
        <v>247</v>
      </c>
      <c r="O27" s="1" t="s">
        <v>248</v>
      </c>
      <c r="P27" s="1" t="s">
        <v>249</v>
      </c>
      <c r="Q27" s="1" t="s">
        <v>250</v>
      </c>
      <c r="R27" s="1" t="s">
        <v>251</v>
      </c>
    </row>
    <row r="28" spans="1:18" x14ac:dyDescent="0.2">
      <c r="D28" s="1" t="s">
        <v>161</v>
      </c>
      <c r="F28" s="1" t="s">
        <v>466</v>
      </c>
      <c r="G28" s="1" t="s">
        <v>466</v>
      </c>
      <c r="H28" s="1" t="s">
        <v>466</v>
      </c>
      <c r="I28" s="1" t="s">
        <v>253</v>
      </c>
      <c r="J28" s="1" t="s">
        <v>466</v>
      </c>
      <c r="K28" s="1" t="s">
        <v>466</v>
      </c>
    </row>
    <row r="29" spans="1:18" x14ac:dyDescent="0.2">
      <c r="F29" s="1" t="s">
        <v>20</v>
      </c>
      <c r="G29" s="1" t="s">
        <v>254</v>
      </c>
      <c r="H29" s="1" t="s">
        <v>255</v>
      </c>
      <c r="I29" s="1" t="s">
        <v>256</v>
      </c>
      <c r="J29" s="1" t="s">
        <v>257</v>
      </c>
      <c r="K29" s="1" t="s">
        <v>258</v>
      </c>
      <c r="M29" s="1" t="s">
        <v>149</v>
      </c>
      <c r="N29" s="1" t="s">
        <v>2</v>
      </c>
      <c r="O29" s="1" t="s">
        <v>2</v>
      </c>
      <c r="P29" s="1" t="s">
        <v>3</v>
      </c>
      <c r="Q29" s="1" t="s">
        <v>4</v>
      </c>
      <c r="R29" s="1" t="s">
        <v>2</v>
      </c>
    </row>
    <row r="30" spans="1:18" x14ac:dyDescent="0.2">
      <c r="D30" s="1" t="s">
        <v>89</v>
      </c>
      <c r="F30" s="1" t="s">
        <v>466</v>
      </c>
      <c r="G30" s="1" t="s">
        <v>466</v>
      </c>
      <c r="H30" s="1" t="s">
        <v>466</v>
      </c>
      <c r="I30" s="1" t="s">
        <v>259</v>
      </c>
      <c r="J30" s="1" t="s">
        <v>466</v>
      </c>
      <c r="K30" s="1" t="s">
        <v>466</v>
      </c>
      <c r="M30" s="1" t="s">
        <v>147</v>
      </c>
      <c r="N30" s="1" t="s">
        <v>426</v>
      </c>
      <c r="O30" s="1" t="s">
        <v>427</v>
      </c>
      <c r="P30" s="1" t="s">
        <v>428</v>
      </c>
      <c r="Q30" s="1" t="s">
        <v>429</v>
      </c>
      <c r="R30" s="1" t="s">
        <v>430</v>
      </c>
    </row>
    <row r="31" spans="1:18" x14ac:dyDescent="0.2">
      <c r="D31" s="1" t="s">
        <v>37</v>
      </c>
      <c r="F31" s="1" t="s">
        <v>466</v>
      </c>
      <c r="G31" s="1" t="s">
        <v>466</v>
      </c>
      <c r="H31" s="1" t="s">
        <v>466</v>
      </c>
      <c r="I31" s="1" t="s">
        <v>261</v>
      </c>
      <c r="J31" s="1" t="s">
        <v>466</v>
      </c>
      <c r="K31" s="1" t="s">
        <v>466</v>
      </c>
      <c r="M31" s="1" t="s">
        <v>148</v>
      </c>
      <c r="N31" s="1" t="s">
        <v>431</v>
      </c>
      <c r="O31" s="1" t="s">
        <v>432</v>
      </c>
      <c r="P31" s="1" t="s">
        <v>433</v>
      </c>
      <c r="Q31" s="1" t="s">
        <v>434</v>
      </c>
      <c r="R31" s="1" t="s">
        <v>435</v>
      </c>
    </row>
    <row r="32" spans="1:18" x14ac:dyDescent="0.2">
      <c r="F32" s="1" t="s">
        <v>22</v>
      </c>
      <c r="G32" s="1" t="s">
        <v>262</v>
      </c>
      <c r="H32" s="1" t="s">
        <v>263</v>
      </c>
      <c r="I32" s="1" t="s">
        <v>264</v>
      </c>
      <c r="J32" s="1" t="s">
        <v>265</v>
      </c>
      <c r="K32" s="1" t="s">
        <v>266</v>
      </c>
      <c r="M32" s="1" t="s">
        <v>149</v>
      </c>
      <c r="N32" s="1" t="s">
        <v>436</v>
      </c>
      <c r="O32" s="1" t="s">
        <v>437</v>
      </c>
      <c r="P32" s="1" t="s">
        <v>438</v>
      </c>
      <c r="Q32" s="1" t="s">
        <v>439</v>
      </c>
      <c r="R32" s="1" t="s">
        <v>440</v>
      </c>
    </row>
    <row r="33" spans="4:11" x14ac:dyDescent="0.2">
      <c r="F33" s="1" t="s">
        <v>6</v>
      </c>
      <c r="G33" s="1" t="s">
        <v>267</v>
      </c>
      <c r="H33" s="1" t="s">
        <v>268</v>
      </c>
      <c r="I33" s="1" t="s">
        <v>269</v>
      </c>
      <c r="J33" s="1" t="s">
        <v>270</v>
      </c>
      <c r="K33" s="1" t="s">
        <v>271</v>
      </c>
    </row>
    <row r="34" spans="4:11" x14ac:dyDescent="0.2">
      <c r="D34" s="1" t="s">
        <v>38</v>
      </c>
      <c r="F34" s="1" t="s">
        <v>466</v>
      </c>
      <c r="G34" s="1" t="s">
        <v>466</v>
      </c>
      <c r="H34" s="1" t="s">
        <v>466</v>
      </c>
      <c r="I34" s="1" t="s">
        <v>272</v>
      </c>
      <c r="J34" s="1" t="s">
        <v>466</v>
      </c>
      <c r="K34" s="1" t="s">
        <v>466</v>
      </c>
    </row>
    <row r="35" spans="4:11" x14ac:dyDescent="0.2">
      <c r="D35" s="1" t="s">
        <v>39</v>
      </c>
      <c r="F35" s="1" t="s">
        <v>466</v>
      </c>
      <c r="G35" s="1" t="s">
        <v>466</v>
      </c>
      <c r="H35" s="1" t="s">
        <v>466</v>
      </c>
      <c r="I35" s="1" t="s">
        <v>273</v>
      </c>
      <c r="J35" s="1" t="s">
        <v>466</v>
      </c>
      <c r="K35" s="1" t="s">
        <v>466</v>
      </c>
    </row>
    <row r="36" spans="4:11" x14ac:dyDescent="0.2">
      <c r="D36" s="1" t="s">
        <v>40</v>
      </c>
      <c r="F36" s="1" t="s">
        <v>466</v>
      </c>
      <c r="G36" s="1" t="s">
        <v>466</v>
      </c>
      <c r="H36" s="1" t="s">
        <v>466</v>
      </c>
      <c r="I36" s="1" t="s">
        <v>274</v>
      </c>
      <c r="J36" s="1" t="s">
        <v>466</v>
      </c>
      <c r="K36" s="1" t="s">
        <v>466</v>
      </c>
    </row>
    <row r="37" spans="4:11" x14ac:dyDescent="0.2">
      <c r="D37" s="1" t="s">
        <v>41</v>
      </c>
      <c r="F37" s="1" t="s">
        <v>466</v>
      </c>
      <c r="G37" s="1" t="s">
        <v>466</v>
      </c>
      <c r="H37" s="1" t="s">
        <v>466</v>
      </c>
      <c r="I37" s="1" t="s">
        <v>275</v>
      </c>
      <c r="J37" s="1" t="s">
        <v>466</v>
      </c>
      <c r="K37" s="1" t="s">
        <v>466</v>
      </c>
    </row>
    <row r="38" spans="4:11" x14ac:dyDescent="0.2">
      <c r="D38" s="1" t="s">
        <v>42</v>
      </c>
      <c r="F38" s="1" t="s">
        <v>466</v>
      </c>
      <c r="G38" s="1" t="s">
        <v>466</v>
      </c>
      <c r="H38" s="1" t="s">
        <v>466</v>
      </c>
      <c r="I38" s="1" t="s">
        <v>276</v>
      </c>
      <c r="J38" s="1" t="s">
        <v>466</v>
      </c>
      <c r="K38" s="1" t="s">
        <v>466</v>
      </c>
    </row>
    <row r="39" spans="4:11" x14ac:dyDescent="0.2">
      <c r="D39" s="1" t="s">
        <v>43</v>
      </c>
      <c r="F39" s="1" t="s">
        <v>466</v>
      </c>
      <c r="G39" s="1" t="s">
        <v>466</v>
      </c>
      <c r="H39" s="1" t="s">
        <v>466</v>
      </c>
      <c r="I39" s="1" t="s">
        <v>277</v>
      </c>
      <c r="J39" s="1" t="s">
        <v>466</v>
      </c>
      <c r="K39" s="1" t="s">
        <v>466</v>
      </c>
    </row>
    <row r="40" spans="4:11" x14ac:dyDescent="0.2">
      <c r="D40" s="1" t="s">
        <v>44</v>
      </c>
      <c r="F40" s="1" t="s">
        <v>466</v>
      </c>
      <c r="G40" s="1" t="s">
        <v>466</v>
      </c>
      <c r="H40" s="1" t="s">
        <v>466</v>
      </c>
      <c r="I40" s="1" t="s">
        <v>279</v>
      </c>
      <c r="J40" s="1" t="s">
        <v>466</v>
      </c>
      <c r="K40" s="1" t="s">
        <v>466</v>
      </c>
    </row>
    <row r="41" spans="4:11" x14ac:dyDescent="0.2">
      <c r="F41" s="1" t="s">
        <v>23</v>
      </c>
      <c r="G41" s="1" t="s">
        <v>280</v>
      </c>
      <c r="H41" s="1" t="s">
        <v>281</v>
      </c>
      <c r="I41" s="1" t="s">
        <v>282</v>
      </c>
      <c r="J41" s="1" t="s">
        <v>283</v>
      </c>
      <c r="K41" s="1" t="s">
        <v>284</v>
      </c>
    </row>
    <row r="42" spans="4:11" x14ac:dyDescent="0.2">
      <c r="F42" s="1" t="s">
        <v>8</v>
      </c>
      <c r="G42" s="1" t="s">
        <v>285</v>
      </c>
      <c r="H42" s="1" t="s">
        <v>286</v>
      </c>
      <c r="I42" s="1" t="s">
        <v>287</v>
      </c>
      <c r="J42" s="1" t="s">
        <v>288</v>
      </c>
      <c r="K42" s="1" t="s">
        <v>289</v>
      </c>
    </row>
    <row r="43" spans="4:11" x14ac:dyDescent="0.2">
      <c r="D43" s="1" t="s">
        <v>171</v>
      </c>
      <c r="F43" s="1" t="s">
        <v>466</v>
      </c>
      <c r="G43" s="1" t="s">
        <v>466</v>
      </c>
      <c r="H43" s="1" t="s">
        <v>466</v>
      </c>
      <c r="I43" s="1" t="s">
        <v>290</v>
      </c>
      <c r="J43" s="1" t="s">
        <v>466</v>
      </c>
      <c r="K43" s="1" t="s">
        <v>466</v>
      </c>
    </row>
    <row r="44" spans="4:11" x14ac:dyDescent="0.2">
      <c r="D44" s="1" t="s">
        <v>172</v>
      </c>
      <c r="F44" s="1" t="s">
        <v>466</v>
      </c>
      <c r="G44" s="1" t="s">
        <v>466</v>
      </c>
      <c r="H44" s="1" t="s">
        <v>466</v>
      </c>
      <c r="I44" s="1" t="s">
        <v>291</v>
      </c>
      <c r="J44" s="1" t="s">
        <v>466</v>
      </c>
      <c r="K44" s="1" t="s">
        <v>466</v>
      </c>
    </row>
    <row r="45" spans="4:11" x14ac:dyDescent="0.2">
      <c r="D45" s="1" t="s">
        <v>173</v>
      </c>
      <c r="F45" s="1" t="s">
        <v>466</v>
      </c>
      <c r="G45" s="1" t="s">
        <v>466</v>
      </c>
      <c r="H45" s="1" t="s">
        <v>466</v>
      </c>
      <c r="I45" s="1" t="s">
        <v>293</v>
      </c>
      <c r="J45" s="1" t="s">
        <v>466</v>
      </c>
      <c r="K45" s="1" t="s">
        <v>466</v>
      </c>
    </row>
    <row r="46" spans="4:11" x14ac:dyDescent="0.2">
      <c r="F46" s="1" t="s">
        <v>9</v>
      </c>
      <c r="G46" s="1" t="s">
        <v>294</v>
      </c>
      <c r="H46" s="1" t="s">
        <v>295</v>
      </c>
      <c r="I46" s="1" t="s">
        <v>296</v>
      </c>
      <c r="J46" s="1" t="s">
        <v>297</v>
      </c>
      <c r="K46" s="1" t="s">
        <v>298</v>
      </c>
    </row>
    <row r="49" spans="1:18" x14ac:dyDescent="0.2">
      <c r="F49" s="1" t="s">
        <v>1</v>
      </c>
      <c r="M49" s="1" t="s">
        <v>68</v>
      </c>
    </row>
    <row r="50" spans="1:18" x14ac:dyDescent="0.2">
      <c r="G50" s="1" t="s">
        <v>239</v>
      </c>
      <c r="H50" s="1" t="s">
        <v>240</v>
      </c>
      <c r="I50" s="1" t="s">
        <v>299</v>
      </c>
      <c r="J50" s="1" t="s">
        <v>300</v>
      </c>
      <c r="K50" s="1" t="s">
        <v>301</v>
      </c>
      <c r="N50" s="1" t="s">
        <v>174</v>
      </c>
      <c r="O50" s="1" t="s">
        <v>175</v>
      </c>
      <c r="P50" s="1" t="s">
        <v>397</v>
      </c>
      <c r="R50" s="1" t="s">
        <v>398</v>
      </c>
    </row>
    <row r="51" spans="1:18" x14ac:dyDescent="0.2">
      <c r="A51" s="1" t="s">
        <v>102</v>
      </c>
    </row>
    <row r="52" spans="1:18" x14ac:dyDescent="0.2">
      <c r="C52" s="1" t="s">
        <v>399</v>
      </c>
      <c r="D52" s="1" t="s">
        <v>176</v>
      </c>
      <c r="G52" s="1" t="s">
        <v>2</v>
      </c>
      <c r="H52" s="1" t="s">
        <v>2</v>
      </c>
      <c r="I52" s="1" t="s">
        <v>3</v>
      </c>
      <c r="J52" s="1" t="s">
        <v>4</v>
      </c>
      <c r="K52" s="1" t="s">
        <v>2</v>
      </c>
      <c r="M52" s="1" t="s">
        <v>30</v>
      </c>
      <c r="N52" s="1" t="s">
        <v>466</v>
      </c>
      <c r="O52" s="1" t="s">
        <v>466</v>
      </c>
      <c r="P52" s="1" t="s">
        <v>402</v>
      </c>
      <c r="R52" s="1" t="s">
        <v>403</v>
      </c>
    </row>
    <row r="54" spans="1:18" x14ac:dyDescent="0.2">
      <c r="C54" s="1" t="s">
        <v>302</v>
      </c>
      <c r="D54" s="1" t="s">
        <v>177</v>
      </c>
      <c r="F54" s="1" t="s">
        <v>5</v>
      </c>
      <c r="G54" s="1" t="s">
        <v>303</v>
      </c>
      <c r="H54" s="1" t="s">
        <v>304</v>
      </c>
      <c r="I54" s="1" t="s">
        <v>305</v>
      </c>
      <c r="J54" s="1" t="s">
        <v>306</v>
      </c>
      <c r="K54" s="1" t="s">
        <v>307</v>
      </c>
      <c r="M54" s="1" t="s">
        <v>10</v>
      </c>
      <c r="N54" s="1" t="s">
        <v>466</v>
      </c>
      <c r="O54" s="1" t="s">
        <v>466</v>
      </c>
      <c r="P54" s="1" t="s">
        <v>406</v>
      </c>
      <c r="R54" s="1" t="s">
        <v>407</v>
      </c>
    </row>
    <row r="56" spans="1:18" x14ac:dyDescent="0.2">
      <c r="C56" s="1" t="s">
        <v>308</v>
      </c>
      <c r="D56" s="1" t="s">
        <v>178</v>
      </c>
      <c r="F56" s="1" t="s">
        <v>441</v>
      </c>
      <c r="G56" s="1" t="s">
        <v>408</v>
      </c>
      <c r="H56" s="1" t="s">
        <v>409</v>
      </c>
      <c r="M56" s="1" t="s">
        <v>12</v>
      </c>
      <c r="N56" s="1" t="s">
        <v>466</v>
      </c>
      <c r="O56" s="1" t="s">
        <v>466</v>
      </c>
      <c r="P56" s="1" t="s">
        <v>412</v>
      </c>
      <c r="R56" s="1" t="s">
        <v>413</v>
      </c>
    </row>
    <row r="58" spans="1:18" x14ac:dyDescent="0.2">
      <c r="F58" s="1" t="s">
        <v>7</v>
      </c>
      <c r="G58" s="1" t="s">
        <v>414</v>
      </c>
      <c r="H58" s="1" t="s">
        <v>415</v>
      </c>
    </row>
    <row r="60" spans="1:18" x14ac:dyDescent="0.2">
      <c r="F60" s="1" t="s">
        <v>13</v>
      </c>
    </row>
    <row r="61" spans="1:18" x14ac:dyDescent="0.2">
      <c r="G61" s="1" t="s">
        <v>94</v>
      </c>
      <c r="H61" s="1" t="s">
        <v>95</v>
      </c>
      <c r="I61" s="1" t="s">
        <v>241</v>
      </c>
      <c r="J61" s="1" t="s">
        <v>242</v>
      </c>
      <c r="K61" s="1" t="s">
        <v>243</v>
      </c>
    </row>
    <row r="62" spans="1:18" x14ac:dyDescent="0.2">
      <c r="G62" s="1" t="s">
        <v>2</v>
      </c>
      <c r="H62" s="1" t="s">
        <v>2</v>
      </c>
      <c r="I62" s="1" t="s">
        <v>3</v>
      </c>
      <c r="J62" s="1" t="s">
        <v>4</v>
      </c>
      <c r="K62" s="1" t="s">
        <v>2</v>
      </c>
    </row>
    <row r="63" spans="1:18" x14ac:dyDescent="0.2">
      <c r="D63" s="1" t="s">
        <v>45</v>
      </c>
      <c r="F63" s="1" t="s">
        <v>466</v>
      </c>
      <c r="G63" s="1" t="s">
        <v>466</v>
      </c>
      <c r="H63" s="1" t="s">
        <v>466</v>
      </c>
      <c r="I63" s="1" t="s">
        <v>466</v>
      </c>
      <c r="J63" s="1" t="s">
        <v>466</v>
      </c>
      <c r="K63" s="1" t="s">
        <v>466</v>
      </c>
    </row>
    <row r="64" spans="1:18" x14ac:dyDescent="0.2">
      <c r="F64" s="1" t="s">
        <v>25</v>
      </c>
    </row>
    <row r="65" spans="4:11" x14ac:dyDescent="0.2">
      <c r="D65" s="1" t="s">
        <v>24</v>
      </c>
      <c r="F65" s="1" t="s">
        <v>466</v>
      </c>
      <c r="G65" s="1" t="s">
        <v>466</v>
      </c>
      <c r="H65" s="1" t="s">
        <v>466</v>
      </c>
      <c r="I65" s="1" t="s">
        <v>466</v>
      </c>
      <c r="J65" s="1" t="s">
        <v>466</v>
      </c>
      <c r="K65" s="1" t="s">
        <v>466</v>
      </c>
    </row>
    <row r="66" spans="4:11" x14ac:dyDescent="0.2">
      <c r="D66" s="1" t="s">
        <v>46</v>
      </c>
      <c r="F66" s="1" t="s">
        <v>466</v>
      </c>
      <c r="G66" s="1" t="s">
        <v>466</v>
      </c>
      <c r="H66" s="1" t="s">
        <v>466</v>
      </c>
      <c r="I66" s="1" t="s">
        <v>466</v>
      </c>
      <c r="J66" s="1" t="s">
        <v>466</v>
      </c>
      <c r="K66" s="1" t="s">
        <v>466</v>
      </c>
    </row>
    <row r="67" spans="4:11" x14ac:dyDescent="0.2">
      <c r="D67" s="1" t="s">
        <v>47</v>
      </c>
      <c r="F67" s="1" t="s">
        <v>466</v>
      </c>
      <c r="G67" s="1" t="s">
        <v>466</v>
      </c>
      <c r="H67" s="1" t="s">
        <v>466</v>
      </c>
      <c r="I67" s="1" t="s">
        <v>466</v>
      </c>
      <c r="J67" s="1" t="s">
        <v>466</v>
      </c>
      <c r="K67" s="1" t="s">
        <v>466</v>
      </c>
    </row>
    <row r="68" spans="4:11" x14ac:dyDescent="0.2">
      <c r="D68" s="1" t="s">
        <v>48</v>
      </c>
      <c r="F68" s="1" t="s">
        <v>466</v>
      </c>
      <c r="G68" s="1" t="s">
        <v>466</v>
      </c>
      <c r="H68" s="1" t="s">
        <v>466</v>
      </c>
      <c r="I68" s="1" t="s">
        <v>466</v>
      </c>
      <c r="J68" s="1" t="s">
        <v>466</v>
      </c>
      <c r="K68" s="1" t="s">
        <v>466</v>
      </c>
    </row>
    <row r="69" spans="4:11" x14ac:dyDescent="0.2">
      <c r="D69" s="1" t="s">
        <v>225</v>
      </c>
      <c r="F69" s="1" t="s">
        <v>466</v>
      </c>
      <c r="G69" s="1" t="s">
        <v>466</v>
      </c>
      <c r="H69" s="1" t="s">
        <v>466</v>
      </c>
      <c r="I69" s="1" t="s">
        <v>466</v>
      </c>
      <c r="J69" s="1" t="s">
        <v>466</v>
      </c>
      <c r="K69" s="1" t="s">
        <v>466</v>
      </c>
    </row>
    <row r="70" spans="4:11" x14ac:dyDescent="0.2">
      <c r="D70" s="1" t="s">
        <v>49</v>
      </c>
      <c r="F70" s="1" t="s">
        <v>466</v>
      </c>
      <c r="G70" s="1" t="s">
        <v>466</v>
      </c>
      <c r="H70" s="1" t="s">
        <v>466</v>
      </c>
      <c r="I70" s="1" t="s">
        <v>466</v>
      </c>
      <c r="J70" s="1" t="s">
        <v>466</v>
      </c>
      <c r="K70" s="1" t="s">
        <v>466</v>
      </c>
    </row>
    <row r="71" spans="4:11" x14ac:dyDescent="0.2">
      <c r="D71" s="1" t="s">
        <v>50</v>
      </c>
      <c r="F71" s="1" t="s">
        <v>466</v>
      </c>
      <c r="G71" s="1" t="s">
        <v>466</v>
      </c>
      <c r="H71" s="1" t="s">
        <v>466</v>
      </c>
      <c r="I71" s="1" t="s">
        <v>466</v>
      </c>
      <c r="J71" s="1" t="s">
        <v>466</v>
      </c>
      <c r="K71" s="1" t="s">
        <v>466</v>
      </c>
    </row>
    <row r="72" spans="4:11" x14ac:dyDescent="0.2">
      <c r="D72" s="1" t="s">
        <v>51</v>
      </c>
      <c r="F72" s="1" t="s">
        <v>466</v>
      </c>
      <c r="G72" s="1" t="s">
        <v>466</v>
      </c>
      <c r="H72" s="1" t="s">
        <v>466</v>
      </c>
      <c r="I72" s="1" t="s">
        <v>466</v>
      </c>
      <c r="J72" s="1" t="s">
        <v>466</v>
      </c>
      <c r="K72" s="1" t="s">
        <v>466</v>
      </c>
    </row>
    <row r="73" spans="4:11" x14ac:dyDescent="0.2">
      <c r="D73" s="1" t="s">
        <v>52</v>
      </c>
      <c r="F73" s="1" t="s">
        <v>466</v>
      </c>
      <c r="G73" s="1" t="s">
        <v>466</v>
      </c>
      <c r="H73" s="1" t="s">
        <v>466</v>
      </c>
      <c r="I73" s="1" t="s">
        <v>466</v>
      </c>
      <c r="J73" s="1" t="s">
        <v>466</v>
      </c>
      <c r="K73" s="1" t="s">
        <v>466</v>
      </c>
    </row>
    <row r="74" spans="4:11" x14ac:dyDescent="0.2">
      <c r="F74" s="1" t="s">
        <v>15</v>
      </c>
      <c r="G74" s="1" t="s">
        <v>311</v>
      </c>
      <c r="H74" s="1" t="s">
        <v>312</v>
      </c>
      <c r="I74" s="1" t="s">
        <v>313</v>
      </c>
      <c r="J74" s="1" t="s">
        <v>314</v>
      </c>
      <c r="K74" s="1" t="s">
        <v>315</v>
      </c>
    </row>
    <row r="75" spans="4:11" x14ac:dyDescent="0.2">
      <c r="D75" s="1" t="s">
        <v>26</v>
      </c>
      <c r="F75" s="1" t="s">
        <v>466</v>
      </c>
      <c r="G75" s="1" t="s">
        <v>466</v>
      </c>
      <c r="H75" s="1" t="s">
        <v>466</v>
      </c>
      <c r="I75" s="1" t="s">
        <v>316</v>
      </c>
      <c r="J75" s="1" t="s">
        <v>466</v>
      </c>
      <c r="K75" s="1" t="s">
        <v>466</v>
      </c>
    </row>
    <row r="76" spans="4:11" x14ac:dyDescent="0.2">
      <c r="D76" s="1" t="s">
        <v>27</v>
      </c>
      <c r="F76" s="1" t="s">
        <v>466</v>
      </c>
      <c r="G76" s="1" t="s">
        <v>466</v>
      </c>
      <c r="H76" s="1" t="s">
        <v>466</v>
      </c>
      <c r="I76" s="1" t="s">
        <v>318</v>
      </c>
      <c r="J76" s="1" t="s">
        <v>466</v>
      </c>
      <c r="K76" s="1" t="s">
        <v>466</v>
      </c>
    </row>
    <row r="77" spans="4:11" x14ac:dyDescent="0.2">
      <c r="F77" s="1" t="s">
        <v>16</v>
      </c>
      <c r="G77" s="1" t="s">
        <v>319</v>
      </c>
      <c r="H77" s="1" t="s">
        <v>320</v>
      </c>
      <c r="I77" s="1" t="s">
        <v>321</v>
      </c>
      <c r="J77" s="1" t="s">
        <v>322</v>
      </c>
      <c r="K77" s="1" t="s">
        <v>323</v>
      </c>
    </row>
    <row r="78" spans="4:11" x14ac:dyDescent="0.2">
      <c r="D78" s="1" t="s">
        <v>28</v>
      </c>
      <c r="F78" s="1" t="s">
        <v>466</v>
      </c>
      <c r="G78" s="1" t="s">
        <v>466</v>
      </c>
      <c r="H78" s="1" t="s">
        <v>466</v>
      </c>
      <c r="I78" s="1" t="s">
        <v>324</v>
      </c>
      <c r="J78" s="1" t="s">
        <v>466</v>
      </c>
      <c r="K78" s="1" t="s">
        <v>466</v>
      </c>
    </row>
    <row r="79" spans="4:11" x14ac:dyDescent="0.2">
      <c r="D79" s="1" t="s">
        <v>231</v>
      </c>
      <c r="F79" s="1" t="s">
        <v>466</v>
      </c>
      <c r="G79" s="1" t="s">
        <v>466</v>
      </c>
      <c r="H79" s="1" t="s">
        <v>466</v>
      </c>
      <c r="I79" s="1" t="s">
        <v>325</v>
      </c>
      <c r="J79" s="1" t="s">
        <v>466</v>
      </c>
      <c r="K79" s="1" t="s">
        <v>466</v>
      </c>
    </row>
    <row r="80" spans="4:11" x14ac:dyDescent="0.2">
      <c r="D80" s="1" t="s">
        <v>53</v>
      </c>
      <c r="F80" s="1" t="s">
        <v>466</v>
      </c>
      <c r="G80" s="1" t="s">
        <v>466</v>
      </c>
      <c r="H80" s="1" t="s">
        <v>466</v>
      </c>
      <c r="I80" s="1" t="s">
        <v>327</v>
      </c>
      <c r="J80" s="1" t="s">
        <v>466</v>
      </c>
      <c r="K80" s="1" t="s">
        <v>466</v>
      </c>
    </row>
    <row r="81" spans="4:11" x14ac:dyDescent="0.2">
      <c r="F81" s="1" t="s">
        <v>17</v>
      </c>
      <c r="G81" s="1" t="s">
        <v>328</v>
      </c>
      <c r="H81" s="1" t="s">
        <v>329</v>
      </c>
      <c r="I81" s="1" t="s">
        <v>330</v>
      </c>
      <c r="J81" s="1" t="s">
        <v>331</v>
      </c>
      <c r="K81" s="1" t="s">
        <v>332</v>
      </c>
    </row>
    <row r="83" spans="4:11" x14ac:dyDescent="0.2">
      <c r="F83" s="1" t="s">
        <v>18</v>
      </c>
      <c r="G83" s="1" t="s">
        <v>333</v>
      </c>
      <c r="H83" s="1" t="s">
        <v>334</v>
      </c>
      <c r="I83" s="1" t="s">
        <v>335</v>
      </c>
      <c r="J83" s="1" t="s">
        <v>336</v>
      </c>
      <c r="K83" s="1" t="s">
        <v>337</v>
      </c>
    </row>
    <row r="84" spans="4:11" x14ac:dyDescent="0.2">
      <c r="D84" s="1" t="s">
        <v>29</v>
      </c>
      <c r="F84" s="1" t="s">
        <v>223</v>
      </c>
      <c r="G84" s="1" t="s">
        <v>393</v>
      </c>
      <c r="H84" s="1" t="s">
        <v>394</v>
      </c>
      <c r="I84" s="1" t="s">
        <v>338</v>
      </c>
      <c r="J84" s="1" t="s">
        <v>395</v>
      </c>
      <c r="K84" s="1" t="s">
        <v>396</v>
      </c>
    </row>
    <row r="85" spans="4:11" x14ac:dyDescent="0.2">
      <c r="F85" s="1" t="s">
        <v>224</v>
      </c>
      <c r="G85" s="1" t="s">
        <v>339</v>
      </c>
      <c r="H85" s="1" t="s">
        <v>340</v>
      </c>
      <c r="I85" s="1" t="s">
        <v>341</v>
      </c>
      <c r="J85" s="1" t="s">
        <v>342</v>
      </c>
      <c r="K85" s="1" t="s">
        <v>343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heetViews>
  <sheetFormatPr defaultRowHeight="12.75" x14ac:dyDescent="0.2"/>
  <sheetData>
    <row r="1" spans="1:6" x14ac:dyDescent="0.2">
      <c r="A1" s="1" t="s">
        <v>477</v>
      </c>
      <c r="C1" s="1" t="s">
        <v>33</v>
      </c>
      <c r="D1" s="1" t="s">
        <v>34</v>
      </c>
      <c r="E1" s="1" t="s">
        <v>183</v>
      </c>
      <c r="F1" s="1" t="s">
        <v>448</v>
      </c>
    </row>
    <row r="3" spans="1:6" x14ac:dyDescent="0.2">
      <c r="C3" s="1" t="s">
        <v>54</v>
      </c>
    </row>
    <row r="5" spans="1:6" x14ac:dyDescent="0.2">
      <c r="A5" s="1" t="s">
        <v>32</v>
      </c>
      <c r="C5" s="1" t="s">
        <v>35</v>
      </c>
      <c r="D5" s="1" t="s">
        <v>467</v>
      </c>
      <c r="F5" s="1" t="s">
        <v>449</v>
      </c>
    </row>
    <row r="6" spans="1:6" x14ac:dyDescent="0.2">
      <c r="A6" s="1" t="s">
        <v>32</v>
      </c>
      <c r="C6" s="1" t="s">
        <v>182</v>
      </c>
      <c r="D6" s="1" t="s">
        <v>468</v>
      </c>
      <c r="E6" s="1" t="s">
        <v>184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workbookViewId="0"/>
  </sheetViews>
  <sheetFormatPr defaultRowHeight="12.75" x14ac:dyDescent="0.2"/>
  <sheetData>
    <row r="1" spans="1:19" x14ac:dyDescent="0.2">
      <c r="A1" s="1" t="s">
        <v>479</v>
      </c>
      <c r="B1" s="1" t="s">
        <v>21</v>
      </c>
      <c r="C1" s="1" t="s">
        <v>21</v>
      </c>
      <c r="D1" s="1" t="s">
        <v>21</v>
      </c>
      <c r="F1" s="1" t="s">
        <v>36</v>
      </c>
      <c r="G1" s="1" t="s">
        <v>36</v>
      </c>
      <c r="H1" s="1" t="s">
        <v>36</v>
      </c>
      <c r="I1" s="1" t="s">
        <v>36</v>
      </c>
      <c r="J1" s="1" t="s">
        <v>36</v>
      </c>
      <c r="K1" s="1" t="s">
        <v>36</v>
      </c>
      <c r="L1" s="1" t="s">
        <v>36</v>
      </c>
      <c r="N1" s="1" t="s">
        <v>36</v>
      </c>
      <c r="O1" s="1" t="s">
        <v>36</v>
      </c>
      <c r="P1" s="1" t="s">
        <v>36</v>
      </c>
      <c r="Q1" s="1" t="s">
        <v>36</v>
      </c>
      <c r="R1" s="1" t="s">
        <v>36</v>
      </c>
      <c r="S1" s="1" t="s">
        <v>36</v>
      </c>
    </row>
    <row r="2" spans="1:19" x14ac:dyDescent="0.2">
      <c r="A2" s="1" t="s">
        <v>21</v>
      </c>
    </row>
    <row r="3" spans="1:19" x14ac:dyDescent="0.2">
      <c r="A3" s="1" t="s">
        <v>21</v>
      </c>
      <c r="C3" s="1" t="s">
        <v>469</v>
      </c>
    </row>
    <row r="4" spans="1:19" x14ac:dyDescent="0.2">
      <c r="A4" s="1" t="s">
        <v>21</v>
      </c>
      <c r="C4" s="1" t="s">
        <v>69</v>
      </c>
    </row>
    <row r="5" spans="1:19" x14ac:dyDescent="0.2">
      <c r="A5" s="1" t="s">
        <v>21</v>
      </c>
      <c r="C5" s="1" t="s">
        <v>70</v>
      </c>
    </row>
    <row r="6" spans="1:19" x14ac:dyDescent="0.2">
      <c r="A6" s="1" t="s">
        <v>21</v>
      </c>
      <c r="C6" s="1" t="s">
        <v>105</v>
      </c>
    </row>
    <row r="7" spans="1:19" x14ac:dyDescent="0.2">
      <c r="A7" s="1" t="s">
        <v>21</v>
      </c>
      <c r="C7" s="1" t="s">
        <v>71</v>
      </c>
    </row>
    <row r="8" spans="1:19" x14ac:dyDescent="0.2">
      <c r="A8" s="1" t="s">
        <v>21</v>
      </c>
      <c r="C8" s="1" t="s">
        <v>72</v>
      </c>
    </row>
    <row r="9" spans="1:19" x14ac:dyDescent="0.2">
      <c r="A9" s="1" t="s">
        <v>21</v>
      </c>
      <c r="B9" s="1" t="s">
        <v>73</v>
      </c>
      <c r="C9" s="1" t="s">
        <v>74</v>
      </c>
    </row>
    <row r="10" spans="1:19" x14ac:dyDescent="0.2">
      <c r="A10" s="1" t="s">
        <v>21</v>
      </c>
      <c r="B10" s="1" t="s">
        <v>75</v>
      </c>
      <c r="C10" s="1" t="s">
        <v>76</v>
      </c>
      <c r="D10" s="1" t="s">
        <v>442</v>
      </c>
      <c r="M10" s="1" t="s">
        <v>446</v>
      </c>
    </row>
    <row r="11" spans="1:19" x14ac:dyDescent="0.2">
      <c r="A11" s="1" t="s">
        <v>21</v>
      </c>
      <c r="B11" s="1" t="s">
        <v>77</v>
      </c>
      <c r="C11" s="1" t="s">
        <v>470</v>
      </c>
    </row>
    <row r="12" spans="1:19" x14ac:dyDescent="0.2">
      <c r="A12" s="1" t="s">
        <v>21</v>
      </c>
      <c r="B12" s="1" t="s">
        <v>78</v>
      </c>
      <c r="C12" s="1" t="s">
        <v>471</v>
      </c>
    </row>
    <row r="13" spans="1:19" x14ac:dyDescent="0.2">
      <c r="A13" s="1" t="s">
        <v>21</v>
      </c>
      <c r="B13" s="1" t="s">
        <v>79</v>
      </c>
      <c r="C13" s="1" t="s">
        <v>80</v>
      </c>
    </row>
    <row r="14" spans="1:19" x14ac:dyDescent="0.2">
      <c r="A14" s="1" t="s">
        <v>21</v>
      </c>
      <c r="B14" s="1" t="s">
        <v>81</v>
      </c>
      <c r="C14" s="1" t="s">
        <v>82</v>
      </c>
    </row>
    <row r="16" spans="1:19" x14ac:dyDescent="0.2">
      <c r="B16" s="1" t="s">
        <v>67</v>
      </c>
      <c r="C16" s="1" t="s">
        <v>83</v>
      </c>
      <c r="G16" s="1" t="s">
        <v>473</v>
      </c>
    </row>
    <row r="17" spans="1:18" x14ac:dyDescent="0.2">
      <c r="B17" s="1" t="s">
        <v>66</v>
      </c>
      <c r="C17" s="1" t="s">
        <v>106</v>
      </c>
      <c r="G17" s="1" t="s">
        <v>84</v>
      </c>
    </row>
    <row r="18" spans="1:18" x14ac:dyDescent="0.2">
      <c r="C18" s="1" t="s">
        <v>238</v>
      </c>
      <c r="H18" s="1" t="s">
        <v>31</v>
      </c>
    </row>
    <row r="20" spans="1:18" x14ac:dyDescent="0.2">
      <c r="B20" s="1" t="s">
        <v>4</v>
      </c>
      <c r="C20" s="1" t="s">
        <v>472</v>
      </c>
      <c r="F20" s="1" t="s">
        <v>0</v>
      </c>
      <c r="M20" s="1" t="s">
        <v>11</v>
      </c>
    </row>
    <row r="21" spans="1:18" x14ac:dyDescent="0.2">
      <c r="A21" s="1" t="s">
        <v>102</v>
      </c>
      <c r="D21" s="1" t="s">
        <v>103</v>
      </c>
      <c r="G21" s="1" t="s">
        <v>107</v>
      </c>
      <c r="H21" s="1" t="s">
        <v>108</v>
      </c>
      <c r="I21" s="1" t="s">
        <v>107</v>
      </c>
      <c r="J21" s="1" t="s">
        <v>107</v>
      </c>
      <c r="K21" s="1" t="s">
        <v>108</v>
      </c>
      <c r="N21" s="1" t="s">
        <v>150</v>
      </c>
      <c r="O21" s="1" t="s">
        <v>151</v>
      </c>
      <c r="P21" s="1" t="s">
        <v>152</v>
      </c>
      <c r="Q21" s="1" t="s">
        <v>153</v>
      </c>
      <c r="R21" s="1" t="s">
        <v>154</v>
      </c>
    </row>
    <row r="22" spans="1:18" x14ac:dyDescent="0.2">
      <c r="A22" s="1" t="s">
        <v>102</v>
      </c>
      <c r="D22" s="1" t="s">
        <v>104</v>
      </c>
      <c r="G22" s="1" t="s">
        <v>109</v>
      </c>
      <c r="H22" s="1" t="s">
        <v>110</v>
      </c>
      <c r="I22" s="1" t="s">
        <v>111</v>
      </c>
      <c r="J22" s="1" t="s">
        <v>111</v>
      </c>
      <c r="K22" s="1" t="s">
        <v>112</v>
      </c>
      <c r="N22" s="1" t="s">
        <v>155</v>
      </c>
      <c r="O22" s="1" t="s">
        <v>156</v>
      </c>
      <c r="P22" s="1" t="s">
        <v>157</v>
      </c>
      <c r="Q22" s="1" t="s">
        <v>158</v>
      </c>
      <c r="R22" s="1" t="s">
        <v>159</v>
      </c>
    </row>
    <row r="23" spans="1:18" x14ac:dyDescent="0.2">
      <c r="D23" s="1" t="s">
        <v>19</v>
      </c>
      <c r="G23" s="1" t="s">
        <v>77</v>
      </c>
      <c r="H23" s="1" t="s">
        <v>78</v>
      </c>
      <c r="I23" s="1" t="s">
        <v>85</v>
      </c>
      <c r="J23" s="1" t="s">
        <v>79</v>
      </c>
      <c r="K23" s="1" t="s">
        <v>81</v>
      </c>
      <c r="N23" s="1" t="s">
        <v>239</v>
      </c>
      <c r="O23" s="1" t="s">
        <v>240</v>
      </c>
      <c r="P23" s="1" t="s">
        <v>241</v>
      </c>
      <c r="Q23" s="1" t="s">
        <v>242</v>
      </c>
      <c r="R23" s="1" t="s">
        <v>243</v>
      </c>
    </row>
    <row r="24" spans="1:18" x14ac:dyDescent="0.2">
      <c r="G24" s="1" t="s">
        <v>2</v>
      </c>
      <c r="H24" s="1" t="s">
        <v>2</v>
      </c>
      <c r="I24" s="1" t="s">
        <v>3</v>
      </c>
      <c r="J24" s="1" t="s">
        <v>4</v>
      </c>
      <c r="K24" s="1" t="s">
        <v>2</v>
      </c>
      <c r="M24" s="1" t="s">
        <v>14</v>
      </c>
      <c r="N24" s="1" t="s">
        <v>2</v>
      </c>
      <c r="O24" s="1" t="s">
        <v>2</v>
      </c>
      <c r="P24" s="1" t="s">
        <v>3</v>
      </c>
      <c r="Q24" s="1" t="s">
        <v>4</v>
      </c>
      <c r="R24" s="1" t="s">
        <v>2</v>
      </c>
    </row>
    <row r="25" spans="1:18" x14ac:dyDescent="0.2">
      <c r="D25" s="1" t="s">
        <v>86</v>
      </c>
      <c r="F25" s="1" t="s">
        <v>88</v>
      </c>
      <c r="G25" s="1" t="s">
        <v>113</v>
      </c>
      <c r="H25" s="1" t="s">
        <v>114</v>
      </c>
      <c r="I25" s="1" t="s">
        <v>244</v>
      </c>
      <c r="J25" s="1" t="s">
        <v>344</v>
      </c>
      <c r="K25" s="1" t="s">
        <v>115</v>
      </c>
      <c r="M25" s="1" t="s">
        <v>147</v>
      </c>
      <c r="N25" s="1" t="s">
        <v>416</v>
      </c>
      <c r="O25" s="1" t="s">
        <v>417</v>
      </c>
      <c r="P25" s="1" t="s">
        <v>418</v>
      </c>
      <c r="Q25" s="1" t="s">
        <v>419</v>
      </c>
      <c r="R25" s="1" t="s">
        <v>420</v>
      </c>
    </row>
    <row r="26" spans="1:18" x14ac:dyDescent="0.2">
      <c r="D26" s="1" t="s">
        <v>87</v>
      </c>
      <c r="F26" s="1" t="s">
        <v>116</v>
      </c>
      <c r="G26" s="1" t="s">
        <v>117</v>
      </c>
      <c r="H26" s="1" t="s">
        <v>118</v>
      </c>
      <c r="I26" s="1" t="s">
        <v>245</v>
      </c>
      <c r="J26" s="1" t="s">
        <v>345</v>
      </c>
      <c r="K26" s="1" t="s">
        <v>119</v>
      </c>
      <c r="M26" s="1" t="s">
        <v>148</v>
      </c>
      <c r="N26" s="1" t="s">
        <v>421</v>
      </c>
      <c r="O26" s="1" t="s">
        <v>422</v>
      </c>
      <c r="P26" s="1" t="s">
        <v>423</v>
      </c>
      <c r="Q26" s="1" t="s">
        <v>424</v>
      </c>
      <c r="R26" s="1" t="s">
        <v>425</v>
      </c>
    </row>
    <row r="27" spans="1:18" x14ac:dyDescent="0.2">
      <c r="D27" s="1" t="s">
        <v>160</v>
      </c>
      <c r="F27" s="1" t="s">
        <v>162</v>
      </c>
      <c r="G27" s="1" t="s">
        <v>120</v>
      </c>
      <c r="H27" s="1" t="s">
        <v>121</v>
      </c>
      <c r="I27" s="1" t="s">
        <v>246</v>
      </c>
      <c r="J27" s="1" t="s">
        <v>346</v>
      </c>
      <c r="K27" s="1" t="s">
        <v>122</v>
      </c>
      <c r="M27" s="1" t="s">
        <v>14</v>
      </c>
      <c r="N27" s="1" t="s">
        <v>247</v>
      </c>
      <c r="O27" s="1" t="s">
        <v>248</v>
      </c>
      <c r="P27" s="1" t="s">
        <v>249</v>
      </c>
      <c r="Q27" s="1" t="s">
        <v>250</v>
      </c>
      <c r="R27" s="1" t="s">
        <v>251</v>
      </c>
    </row>
    <row r="28" spans="1:18" x14ac:dyDescent="0.2">
      <c r="D28" s="1" t="s">
        <v>161</v>
      </c>
      <c r="F28" s="1" t="s">
        <v>252</v>
      </c>
      <c r="G28" s="1" t="s">
        <v>347</v>
      </c>
      <c r="H28" s="1" t="s">
        <v>348</v>
      </c>
      <c r="I28" s="1" t="s">
        <v>253</v>
      </c>
      <c r="J28" s="1" t="s">
        <v>349</v>
      </c>
      <c r="K28" s="1" t="s">
        <v>350</v>
      </c>
    </row>
    <row r="29" spans="1:18" x14ac:dyDescent="0.2">
      <c r="F29" s="1" t="s">
        <v>20</v>
      </c>
      <c r="G29" s="1" t="s">
        <v>254</v>
      </c>
      <c r="H29" s="1" t="s">
        <v>255</v>
      </c>
      <c r="I29" s="1" t="s">
        <v>256</v>
      </c>
      <c r="J29" s="1" t="s">
        <v>257</v>
      </c>
      <c r="K29" s="1" t="s">
        <v>258</v>
      </c>
      <c r="M29" s="1" t="s">
        <v>149</v>
      </c>
      <c r="N29" s="1" t="s">
        <v>2</v>
      </c>
      <c r="O29" s="1" t="s">
        <v>2</v>
      </c>
      <c r="P29" s="1" t="s">
        <v>3</v>
      </c>
      <c r="Q29" s="1" t="s">
        <v>4</v>
      </c>
      <c r="R29" s="1" t="s">
        <v>2</v>
      </c>
    </row>
    <row r="30" spans="1:18" x14ac:dyDescent="0.2">
      <c r="D30" s="1" t="s">
        <v>89</v>
      </c>
      <c r="F30" s="1" t="s">
        <v>123</v>
      </c>
      <c r="G30" s="1" t="s">
        <v>444</v>
      </c>
      <c r="H30" s="1" t="s">
        <v>124</v>
      </c>
      <c r="I30" s="1" t="s">
        <v>259</v>
      </c>
      <c r="J30" s="1" t="s">
        <v>352</v>
      </c>
      <c r="K30" s="1" t="s">
        <v>445</v>
      </c>
      <c r="M30" s="1" t="s">
        <v>147</v>
      </c>
      <c r="N30" s="1" t="s">
        <v>426</v>
      </c>
      <c r="O30" s="1" t="s">
        <v>427</v>
      </c>
      <c r="P30" s="1" t="s">
        <v>428</v>
      </c>
      <c r="Q30" s="1" t="s">
        <v>429</v>
      </c>
      <c r="R30" s="1" t="s">
        <v>430</v>
      </c>
    </row>
    <row r="31" spans="1:18" x14ac:dyDescent="0.2">
      <c r="D31" s="1" t="s">
        <v>37</v>
      </c>
      <c r="F31" s="1" t="s">
        <v>260</v>
      </c>
      <c r="G31" s="1" t="s">
        <v>351</v>
      </c>
      <c r="H31" s="1" t="s">
        <v>354</v>
      </c>
      <c r="I31" s="1" t="s">
        <v>261</v>
      </c>
      <c r="J31" s="1" t="s">
        <v>355</v>
      </c>
      <c r="K31" s="1" t="s">
        <v>353</v>
      </c>
      <c r="M31" s="1" t="s">
        <v>148</v>
      </c>
      <c r="N31" s="1" t="s">
        <v>431</v>
      </c>
      <c r="O31" s="1" t="s">
        <v>432</v>
      </c>
      <c r="P31" s="1" t="s">
        <v>433</v>
      </c>
      <c r="Q31" s="1" t="s">
        <v>434</v>
      </c>
      <c r="R31" s="1" t="s">
        <v>435</v>
      </c>
    </row>
    <row r="32" spans="1:18" x14ac:dyDescent="0.2">
      <c r="F32" s="1" t="s">
        <v>22</v>
      </c>
      <c r="G32" s="1" t="s">
        <v>262</v>
      </c>
      <c r="H32" s="1" t="s">
        <v>263</v>
      </c>
      <c r="I32" s="1" t="s">
        <v>264</v>
      </c>
      <c r="J32" s="1" t="s">
        <v>265</v>
      </c>
      <c r="K32" s="1" t="s">
        <v>266</v>
      </c>
      <c r="M32" s="1" t="s">
        <v>149</v>
      </c>
      <c r="N32" s="1" t="s">
        <v>436</v>
      </c>
      <c r="O32" s="1" t="s">
        <v>437</v>
      </c>
      <c r="P32" s="1" t="s">
        <v>438</v>
      </c>
      <c r="Q32" s="1" t="s">
        <v>439</v>
      </c>
      <c r="R32" s="1" t="s">
        <v>440</v>
      </c>
    </row>
    <row r="33" spans="4:11" x14ac:dyDescent="0.2">
      <c r="F33" s="1" t="s">
        <v>6</v>
      </c>
      <c r="G33" s="1" t="s">
        <v>267</v>
      </c>
      <c r="H33" s="1" t="s">
        <v>268</v>
      </c>
      <c r="I33" s="1" t="s">
        <v>269</v>
      </c>
      <c r="J33" s="1" t="s">
        <v>270</v>
      </c>
      <c r="K33" s="1" t="s">
        <v>271</v>
      </c>
    </row>
    <row r="34" spans="4:11" x14ac:dyDescent="0.2">
      <c r="D34" s="1" t="s">
        <v>38</v>
      </c>
      <c r="F34" s="1" t="s">
        <v>90</v>
      </c>
      <c r="G34" s="1" t="s">
        <v>125</v>
      </c>
      <c r="H34" s="1" t="s">
        <v>126</v>
      </c>
      <c r="I34" s="1" t="s">
        <v>272</v>
      </c>
      <c r="J34" s="1" t="s">
        <v>356</v>
      </c>
      <c r="K34" s="1" t="s">
        <v>127</v>
      </c>
    </row>
    <row r="35" spans="4:11" x14ac:dyDescent="0.2">
      <c r="D35" s="1" t="s">
        <v>39</v>
      </c>
      <c r="F35" s="1" t="s">
        <v>163</v>
      </c>
      <c r="G35" s="1" t="s">
        <v>164</v>
      </c>
      <c r="H35" s="1" t="s">
        <v>165</v>
      </c>
      <c r="I35" s="1" t="s">
        <v>273</v>
      </c>
      <c r="J35" s="1" t="s">
        <v>357</v>
      </c>
      <c r="K35" s="1" t="s">
        <v>166</v>
      </c>
    </row>
    <row r="36" spans="4:11" x14ac:dyDescent="0.2">
      <c r="D36" s="1" t="s">
        <v>40</v>
      </c>
      <c r="F36" s="1" t="s">
        <v>167</v>
      </c>
      <c r="G36" s="1" t="s">
        <v>168</v>
      </c>
      <c r="H36" s="1" t="s">
        <v>169</v>
      </c>
      <c r="I36" s="1" t="s">
        <v>274</v>
      </c>
      <c r="J36" s="1" t="s">
        <v>358</v>
      </c>
      <c r="K36" s="1" t="s">
        <v>170</v>
      </c>
    </row>
    <row r="37" spans="4:11" x14ac:dyDescent="0.2">
      <c r="D37" s="1" t="s">
        <v>41</v>
      </c>
      <c r="F37" s="1" t="s">
        <v>91</v>
      </c>
      <c r="G37" s="1" t="s">
        <v>128</v>
      </c>
      <c r="H37" s="1" t="s">
        <v>129</v>
      </c>
      <c r="I37" s="1" t="s">
        <v>275</v>
      </c>
      <c r="J37" s="1" t="s">
        <v>359</v>
      </c>
      <c r="K37" s="1" t="s">
        <v>130</v>
      </c>
    </row>
    <row r="38" spans="4:11" x14ac:dyDescent="0.2">
      <c r="D38" s="1" t="s">
        <v>42</v>
      </c>
      <c r="F38" s="1" t="s">
        <v>92</v>
      </c>
      <c r="G38" s="1" t="s">
        <v>131</v>
      </c>
      <c r="H38" s="1" t="s">
        <v>132</v>
      </c>
      <c r="I38" s="1" t="s">
        <v>276</v>
      </c>
      <c r="J38" s="1" t="s">
        <v>360</v>
      </c>
      <c r="K38" s="1" t="s">
        <v>133</v>
      </c>
    </row>
    <row r="39" spans="4:11" x14ac:dyDescent="0.2">
      <c r="D39" s="1" t="s">
        <v>43</v>
      </c>
      <c r="F39" s="1" t="s">
        <v>93</v>
      </c>
      <c r="G39" s="1" t="s">
        <v>134</v>
      </c>
      <c r="H39" s="1" t="s">
        <v>135</v>
      </c>
      <c r="I39" s="1" t="s">
        <v>277</v>
      </c>
      <c r="J39" s="1" t="s">
        <v>361</v>
      </c>
      <c r="K39" s="1" t="s">
        <v>136</v>
      </c>
    </row>
    <row r="40" spans="4:11" x14ac:dyDescent="0.2">
      <c r="D40" s="1" t="s">
        <v>44</v>
      </c>
      <c r="F40" s="1" t="s">
        <v>278</v>
      </c>
      <c r="G40" s="1" t="s">
        <v>362</v>
      </c>
      <c r="H40" s="1" t="s">
        <v>363</v>
      </c>
      <c r="I40" s="1" t="s">
        <v>279</v>
      </c>
      <c r="J40" s="1" t="s">
        <v>364</v>
      </c>
      <c r="K40" s="1" t="s">
        <v>365</v>
      </c>
    </row>
    <row r="41" spans="4:11" x14ac:dyDescent="0.2">
      <c r="F41" s="1" t="s">
        <v>23</v>
      </c>
      <c r="G41" s="1" t="s">
        <v>280</v>
      </c>
      <c r="H41" s="1" t="s">
        <v>281</v>
      </c>
      <c r="I41" s="1" t="s">
        <v>282</v>
      </c>
      <c r="J41" s="1" t="s">
        <v>283</v>
      </c>
      <c r="K41" s="1" t="s">
        <v>284</v>
      </c>
    </row>
    <row r="42" spans="4:11" x14ac:dyDescent="0.2">
      <c r="F42" s="1" t="s">
        <v>8</v>
      </c>
      <c r="G42" s="1" t="s">
        <v>285</v>
      </c>
      <c r="H42" s="1" t="s">
        <v>286</v>
      </c>
      <c r="I42" s="1" t="s">
        <v>287</v>
      </c>
      <c r="J42" s="1" t="s">
        <v>288</v>
      </c>
      <c r="K42" s="1" t="s">
        <v>289</v>
      </c>
    </row>
    <row r="43" spans="4:11" x14ac:dyDescent="0.2">
      <c r="D43" s="1" t="s">
        <v>171</v>
      </c>
      <c r="F43" s="1" t="s">
        <v>137</v>
      </c>
      <c r="G43" s="1" t="s">
        <v>138</v>
      </c>
      <c r="H43" s="1" t="s">
        <v>139</v>
      </c>
      <c r="I43" s="1" t="s">
        <v>290</v>
      </c>
      <c r="J43" s="1" t="s">
        <v>366</v>
      </c>
      <c r="K43" s="1" t="s">
        <v>140</v>
      </c>
    </row>
    <row r="44" spans="4:11" x14ac:dyDescent="0.2">
      <c r="D44" s="1" t="s">
        <v>172</v>
      </c>
      <c r="F44" s="1" t="s">
        <v>141</v>
      </c>
      <c r="G44" s="1" t="s">
        <v>142</v>
      </c>
      <c r="H44" s="1" t="s">
        <v>143</v>
      </c>
      <c r="I44" s="1" t="s">
        <v>291</v>
      </c>
      <c r="J44" s="1" t="s">
        <v>367</v>
      </c>
      <c r="K44" s="1" t="s">
        <v>144</v>
      </c>
    </row>
    <row r="45" spans="4:11" x14ac:dyDescent="0.2">
      <c r="D45" s="1" t="s">
        <v>173</v>
      </c>
      <c r="F45" s="1" t="s">
        <v>292</v>
      </c>
      <c r="G45" s="1" t="s">
        <v>368</v>
      </c>
      <c r="H45" s="1" t="s">
        <v>369</v>
      </c>
      <c r="I45" s="1" t="s">
        <v>293</v>
      </c>
      <c r="J45" s="1" t="s">
        <v>370</v>
      </c>
      <c r="K45" s="1" t="s">
        <v>371</v>
      </c>
    </row>
    <row r="46" spans="4:11" x14ac:dyDescent="0.2">
      <c r="F46" s="1" t="s">
        <v>9</v>
      </c>
      <c r="G46" s="1" t="s">
        <v>294</v>
      </c>
      <c r="H46" s="1" t="s">
        <v>295</v>
      </c>
      <c r="I46" s="1" t="s">
        <v>296</v>
      </c>
      <c r="J46" s="1" t="s">
        <v>297</v>
      </c>
      <c r="K46" s="1" t="s">
        <v>298</v>
      </c>
    </row>
    <row r="49" spans="1:18" x14ac:dyDescent="0.2">
      <c r="F49" s="1" t="s">
        <v>1</v>
      </c>
      <c r="M49" s="1" t="s">
        <v>68</v>
      </c>
    </row>
    <row r="50" spans="1:18" x14ac:dyDescent="0.2">
      <c r="G50" s="1" t="s">
        <v>239</v>
      </c>
      <c r="H50" s="1" t="s">
        <v>240</v>
      </c>
      <c r="I50" s="1" t="s">
        <v>299</v>
      </c>
      <c r="J50" s="1" t="s">
        <v>300</v>
      </c>
      <c r="K50" s="1" t="s">
        <v>301</v>
      </c>
      <c r="N50" s="1" t="s">
        <v>174</v>
      </c>
      <c r="O50" s="1" t="s">
        <v>175</v>
      </c>
      <c r="P50" s="1" t="s">
        <v>397</v>
      </c>
      <c r="R50" s="1" t="s">
        <v>398</v>
      </c>
    </row>
    <row r="51" spans="1:18" x14ac:dyDescent="0.2">
      <c r="A51" s="1" t="s">
        <v>102</v>
      </c>
    </row>
    <row r="52" spans="1:18" x14ac:dyDescent="0.2">
      <c r="C52" s="1" t="s">
        <v>399</v>
      </c>
      <c r="D52" s="1" t="s">
        <v>176</v>
      </c>
      <c r="G52" s="1" t="s">
        <v>2</v>
      </c>
      <c r="H52" s="1" t="s">
        <v>2</v>
      </c>
      <c r="I52" s="1" t="s">
        <v>3</v>
      </c>
      <c r="J52" s="1" t="s">
        <v>4</v>
      </c>
      <c r="K52" s="1" t="s">
        <v>2</v>
      </c>
      <c r="M52" s="1" t="s">
        <v>30</v>
      </c>
      <c r="N52" s="1" t="s">
        <v>400</v>
      </c>
      <c r="O52" s="1" t="s">
        <v>401</v>
      </c>
      <c r="P52" s="1" t="s">
        <v>402</v>
      </c>
      <c r="R52" s="1" t="s">
        <v>403</v>
      </c>
    </row>
    <row r="54" spans="1:18" x14ac:dyDescent="0.2">
      <c r="C54" s="1" t="s">
        <v>302</v>
      </c>
      <c r="D54" s="1" t="s">
        <v>177</v>
      </c>
      <c r="F54" s="1" t="s">
        <v>5</v>
      </c>
      <c r="G54" s="1" t="s">
        <v>303</v>
      </c>
      <c r="H54" s="1" t="s">
        <v>304</v>
      </c>
      <c r="I54" s="1" t="s">
        <v>305</v>
      </c>
      <c r="J54" s="1" t="s">
        <v>306</v>
      </c>
      <c r="K54" s="1" t="s">
        <v>307</v>
      </c>
      <c r="M54" s="1" t="s">
        <v>10</v>
      </c>
      <c r="N54" s="1" t="s">
        <v>404</v>
      </c>
      <c r="O54" s="1" t="s">
        <v>405</v>
      </c>
      <c r="P54" s="1" t="s">
        <v>406</v>
      </c>
      <c r="R54" s="1" t="s">
        <v>407</v>
      </c>
    </row>
    <row r="56" spans="1:18" x14ac:dyDescent="0.2">
      <c r="C56" s="1" t="s">
        <v>308</v>
      </c>
      <c r="D56" s="1" t="s">
        <v>178</v>
      </c>
      <c r="F56" s="1" t="s">
        <v>441</v>
      </c>
      <c r="G56" s="1" t="s">
        <v>408</v>
      </c>
      <c r="H56" s="1" t="s">
        <v>409</v>
      </c>
      <c r="M56" s="1" t="s">
        <v>12</v>
      </c>
      <c r="N56" s="1" t="s">
        <v>410</v>
      </c>
      <c r="O56" s="1" t="s">
        <v>411</v>
      </c>
      <c r="P56" s="1" t="s">
        <v>412</v>
      </c>
      <c r="R56" s="1" t="s">
        <v>413</v>
      </c>
    </row>
    <row r="58" spans="1:18" x14ac:dyDescent="0.2">
      <c r="F58" s="1" t="s">
        <v>7</v>
      </c>
      <c r="G58" s="1" t="s">
        <v>414</v>
      </c>
      <c r="H58" s="1" t="s">
        <v>415</v>
      </c>
    </row>
    <row r="60" spans="1:18" x14ac:dyDescent="0.2">
      <c r="F60" s="1" t="s">
        <v>13</v>
      </c>
    </row>
    <row r="61" spans="1:18" x14ac:dyDescent="0.2">
      <c r="G61" s="1" t="s">
        <v>94</v>
      </c>
      <c r="H61" s="1" t="s">
        <v>95</v>
      </c>
      <c r="I61" s="1" t="s">
        <v>241</v>
      </c>
      <c r="J61" s="1" t="s">
        <v>242</v>
      </c>
      <c r="K61" s="1" t="s">
        <v>243</v>
      </c>
    </row>
    <row r="62" spans="1:18" x14ac:dyDescent="0.2">
      <c r="G62" s="1" t="s">
        <v>2</v>
      </c>
      <c r="H62" s="1" t="s">
        <v>2</v>
      </c>
      <c r="I62" s="1" t="s">
        <v>3</v>
      </c>
      <c r="J62" s="1" t="s">
        <v>4</v>
      </c>
      <c r="K62" s="1" t="s">
        <v>2</v>
      </c>
    </row>
    <row r="63" spans="1:18" x14ac:dyDescent="0.2">
      <c r="D63" s="1" t="s">
        <v>45</v>
      </c>
      <c r="F63" s="1" t="s">
        <v>309</v>
      </c>
      <c r="G63" s="1" t="s">
        <v>372</v>
      </c>
      <c r="H63" s="1" t="s">
        <v>373</v>
      </c>
      <c r="I63" s="1" t="s">
        <v>374</v>
      </c>
      <c r="J63" s="1" t="s">
        <v>375</v>
      </c>
      <c r="K63" s="1" t="s">
        <v>376</v>
      </c>
    </row>
    <row r="64" spans="1:18" x14ac:dyDescent="0.2">
      <c r="F64" s="1" t="s">
        <v>25</v>
      </c>
    </row>
    <row r="65" spans="4:11" x14ac:dyDescent="0.2">
      <c r="D65" s="1" t="s">
        <v>24</v>
      </c>
      <c r="F65" s="1" t="s">
        <v>179</v>
      </c>
      <c r="G65" s="1" t="s">
        <v>185</v>
      </c>
      <c r="H65" s="1" t="s">
        <v>186</v>
      </c>
      <c r="I65" s="1" t="s">
        <v>187</v>
      </c>
      <c r="J65" s="1" t="s">
        <v>188</v>
      </c>
      <c r="K65" s="1" t="s">
        <v>189</v>
      </c>
    </row>
    <row r="66" spans="4:11" x14ac:dyDescent="0.2">
      <c r="D66" s="1" t="s">
        <v>46</v>
      </c>
      <c r="F66" s="1" t="s">
        <v>96</v>
      </c>
      <c r="G66" s="1" t="s">
        <v>190</v>
      </c>
      <c r="H66" s="1" t="s">
        <v>191</v>
      </c>
      <c r="I66" s="1" t="s">
        <v>192</v>
      </c>
      <c r="J66" s="1" t="s">
        <v>193</v>
      </c>
      <c r="K66" s="1" t="s">
        <v>194</v>
      </c>
    </row>
    <row r="67" spans="4:11" x14ac:dyDescent="0.2">
      <c r="D67" s="1" t="s">
        <v>47</v>
      </c>
      <c r="F67" s="1" t="s">
        <v>97</v>
      </c>
      <c r="G67" s="1" t="s">
        <v>195</v>
      </c>
      <c r="H67" s="1" t="s">
        <v>196</v>
      </c>
      <c r="I67" s="1" t="s">
        <v>197</v>
      </c>
      <c r="J67" s="1" t="s">
        <v>198</v>
      </c>
      <c r="K67" s="1" t="s">
        <v>199</v>
      </c>
    </row>
    <row r="68" spans="4:11" x14ac:dyDescent="0.2">
      <c r="D68" s="1" t="s">
        <v>48</v>
      </c>
      <c r="F68" s="1" t="s">
        <v>98</v>
      </c>
      <c r="G68" s="1" t="s">
        <v>226</v>
      </c>
      <c r="H68" s="1" t="s">
        <v>227</v>
      </c>
      <c r="I68" s="1" t="s">
        <v>228</v>
      </c>
      <c r="J68" s="1" t="s">
        <v>229</v>
      </c>
      <c r="K68" s="1" t="s">
        <v>230</v>
      </c>
    </row>
    <row r="69" spans="4:11" x14ac:dyDescent="0.2">
      <c r="D69" s="1" t="s">
        <v>225</v>
      </c>
      <c r="F69" s="1" t="s">
        <v>99</v>
      </c>
      <c r="G69" s="1" t="s">
        <v>200</v>
      </c>
      <c r="H69" s="1" t="s">
        <v>201</v>
      </c>
      <c r="I69" s="1" t="s">
        <v>202</v>
      </c>
      <c r="J69" s="1" t="s">
        <v>203</v>
      </c>
      <c r="K69" s="1" t="s">
        <v>204</v>
      </c>
    </row>
    <row r="70" spans="4:11" x14ac:dyDescent="0.2">
      <c r="D70" s="1" t="s">
        <v>49</v>
      </c>
      <c r="F70" s="1" t="s">
        <v>100</v>
      </c>
      <c r="G70" s="1" t="s">
        <v>205</v>
      </c>
      <c r="H70" s="1" t="s">
        <v>206</v>
      </c>
      <c r="I70" s="1" t="s">
        <v>207</v>
      </c>
      <c r="J70" s="1" t="s">
        <v>208</v>
      </c>
      <c r="K70" s="1" t="s">
        <v>209</v>
      </c>
    </row>
    <row r="71" spans="4:11" x14ac:dyDescent="0.2">
      <c r="D71" s="1" t="s">
        <v>50</v>
      </c>
      <c r="F71" s="1" t="s">
        <v>101</v>
      </c>
      <c r="G71" s="1" t="s">
        <v>210</v>
      </c>
      <c r="H71" s="1" t="s">
        <v>211</v>
      </c>
      <c r="I71" s="1" t="s">
        <v>212</v>
      </c>
      <c r="J71" s="1" t="s">
        <v>213</v>
      </c>
      <c r="K71" s="1" t="s">
        <v>214</v>
      </c>
    </row>
    <row r="72" spans="4:11" x14ac:dyDescent="0.2">
      <c r="D72" s="1" t="s">
        <v>51</v>
      </c>
      <c r="F72" s="1" t="s">
        <v>145</v>
      </c>
      <c r="G72" s="1" t="s">
        <v>215</v>
      </c>
      <c r="H72" s="1" t="s">
        <v>216</v>
      </c>
      <c r="I72" s="1" t="s">
        <v>217</v>
      </c>
      <c r="J72" s="1" t="s">
        <v>218</v>
      </c>
      <c r="K72" s="1" t="s">
        <v>219</v>
      </c>
    </row>
    <row r="73" spans="4:11" x14ac:dyDescent="0.2">
      <c r="D73" s="1" t="s">
        <v>52</v>
      </c>
      <c r="F73" s="1" t="s">
        <v>310</v>
      </c>
      <c r="G73" s="1" t="s">
        <v>377</v>
      </c>
      <c r="H73" s="1" t="s">
        <v>378</v>
      </c>
      <c r="I73" s="1" t="s">
        <v>379</v>
      </c>
      <c r="J73" s="1" t="s">
        <v>380</v>
      </c>
      <c r="K73" s="1" t="s">
        <v>381</v>
      </c>
    </row>
    <row r="74" spans="4:11" x14ac:dyDescent="0.2">
      <c r="F74" s="1" t="s">
        <v>15</v>
      </c>
      <c r="G74" s="1" t="s">
        <v>311</v>
      </c>
      <c r="H74" s="1" t="s">
        <v>312</v>
      </c>
      <c r="I74" s="1" t="s">
        <v>313</v>
      </c>
      <c r="J74" s="1" t="s">
        <v>314</v>
      </c>
      <c r="K74" s="1" t="s">
        <v>315</v>
      </c>
    </row>
    <row r="75" spans="4:11" x14ac:dyDescent="0.2">
      <c r="D75" s="1" t="s">
        <v>26</v>
      </c>
      <c r="F75" s="1" t="s">
        <v>180</v>
      </c>
      <c r="G75" s="1" t="s">
        <v>220</v>
      </c>
      <c r="H75" s="1" t="s">
        <v>221</v>
      </c>
      <c r="I75" s="1" t="s">
        <v>316</v>
      </c>
      <c r="J75" s="1" t="s">
        <v>382</v>
      </c>
      <c r="K75" s="1" t="s">
        <v>222</v>
      </c>
    </row>
    <row r="76" spans="4:11" x14ac:dyDescent="0.2">
      <c r="D76" s="1" t="s">
        <v>27</v>
      </c>
      <c r="F76" s="1" t="s">
        <v>317</v>
      </c>
      <c r="G76" s="1" t="s">
        <v>383</v>
      </c>
      <c r="H76" s="1" t="s">
        <v>384</v>
      </c>
      <c r="I76" s="1" t="s">
        <v>318</v>
      </c>
      <c r="J76" s="1" t="s">
        <v>385</v>
      </c>
      <c r="K76" s="1" t="s">
        <v>386</v>
      </c>
    </row>
    <row r="77" spans="4:11" x14ac:dyDescent="0.2">
      <c r="F77" s="1" t="s">
        <v>16</v>
      </c>
      <c r="G77" s="1" t="s">
        <v>319</v>
      </c>
      <c r="H77" s="1" t="s">
        <v>320</v>
      </c>
      <c r="I77" s="1" t="s">
        <v>321</v>
      </c>
      <c r="J77" s="1" t="s">
        <v>322</v>
      </c>
      <c r="K77" s="1" t="s">
        <v>323</v>
      </c>
    </row>
    <row r="78" spans="4:11" x14ac:dyDescent="0.2">
      <c r="D78" s="1" t="s">
        <v>28</v>
      </c>
      <c r="F78" s="1" t="s">
        <v>181</v>
      </c>
      <c r="G78" s="1" t="s">
        <v>232</v>
      </c>
      <c r="H78" s="1" t="s">
        <v>233</v>
      </c>
      <c r="I78" s="1" t="s">
        <v>324</v>
      </c>
      <c r="J78" s="1" t="s">
        <v>387</v>
      </c>
      <c r="K78" s="1" t="s">
        <v>234</v>
      </c>
    </row>
    <row r="79" spans="4:11" x14ac:dyDescent="0.2">
      <c r="D79" s="1" t="s">
        <v>231</v>
      </c>
      <c r="F79" s="1" t="s">
        <v>146</v>
      </c>
      <c r="G79" s="1" t="s">
        <v>235</v>
      </c>
      <c r="H79" s="1" t="s">
        <v>236</v>
      </c>
      <c r="I79" s="1" t="s">
        <v>325</v>
      </c>
      <c r="J79" s="1" t="s">
        <v>388</v>
      </c>
      <c r="K79" s="1" t="s">
        <v>237</v>
      </c>
    </row>
    <row r="80" spans="4:11" x14ac:dyDescent="0.2">
      <c r="D80" s="1" t="s">
        <v>53</v>
      </c>
      <c r="F80" s="1" t="s">
        <v>326</v>
      </c>
      <c r="G80" s="1" t="s">
        <v>389</v>
      </c>
      <c r="H80" s="1" t="s">
        <v>390</v>
      </c>
      <c r="I80" s="1" t="s">
        <v>327</v>
      </c>
      <c r="J80" s="1" t="s">
        <v>391</v>
      </c>
      <c r="K80" s="1" t="s">
        <v>392</v>
      </c>
    </row>
    <row r="81" spans="4:11" x14ac:dyDescent="0.2">
      <c r="F81" s="1" t="s">
        <v>17</v>
      </c>
      <c r="G81" s="1" t="s">
        <v>328</v>
      </c>
      <c r="H81" s="1" t="s">
        <v>329</v>
      </c>
      <c r="I81" s="1" t="s">
        <v>330</v>
      </c>
      <c r="J81" s="1" t="s">
        <v>331</v>
      </c>
      <c r="K81" s="1" t="s">
        <v>332</v>
      </c>
    </row>
    <row r="83" spans="4:11" x14ac:dyDescent="0.2">
      <c r="F83" s="1" t="s">
        <v>18</v>
      </c>
      <c r="G83" s="1" t="s">
        <v>333</v>
      </c>
      <c r="H83" s="1" t="s">
        <v>334</v>
      </c>
      <c r="I83" s="1" t="s">
        <v>335</v>
      </c>
      <c r="J83" s="1" t="s">
        <v>336</v>
      </c>
      <c r="K83" s="1" t="s">
        <v>337</v>
      </c>
    </row>
    <row r="84" spans="4:11" x14ac:dyDescent="0.2">
      <c r="D84" s="1" t="s">
        <v>29</v>
      </c>
      <c r="F84" s="1" t="s">
        <v>223</v>
      </c>
      <c r="G84" s="1" t="s">
        <v>393</v>
      </c>
      <c r="H84" s="1" t="s">
        <v>394</v>
      </c>
      <c r="I84" s="1" t="s">
        <v>338</v>
      </c>
      <c r="J84" s="1" t="s">
        <v>395</v>
      </c>
      <c r="K84" s="1" t="s">
        <v>396</v>
      </c>
    </row>
    <row r="85" spans="4:11" x14ac:dyDescent="0.2">
      <c r="F85" s="1" t="s">
        <v>224</v>
      </c>
      <c r="G85" s="1" t="s">
        <v>339</v>
      </c>
      <c r="H85" s="1" t="s">
        <v>340</v>
      </c>
      <c r="I85" s="1" t="s">
        <v>341</v>
      </c>
      <c r="J85" s="1" t="s">
        <v>342</v>
      </c>
      <c r="K85" s="1" t="s">
        <v>343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4046CA4B-D8D0-4087-8C40-F9D81161ADD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Options</vt:lpstr>
      <vt:lpstr>DashBoard</vt:lpstr>
    </vt:vector>
  </TitlesOfParts>
  <Company>Jet Reports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Executive Overview</dc:title>
  <dc:subject>Jet Reports</dc:subject>
  <dc:creator>Jet Reports</dc:creator>
  <dc:description>Provides an executive dashboard view of the financial health of a company including P&amp;L, KPI's, Balance Sheet, Cash Flow and changes to Current Assets and Liabilities for the current and previous year.</dc:description>
  <cp:lastModifiedBy>Kim R. Duey</cp:lastModifiedBy>
  <cp:lastPrinted>2014-01-09T00:46:38Z</cp:lastPrinted>
  <dcterms:created xsi:type="dcterms:W3CDTF">2007-01-25T02:03:33Z</dcterms:created>
  <dcterms:modified xsi:type="dcterms:W3CDTF">2018-10-24T21:42:03Z</dcterms:modified>
  <cp:category>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true</vt:bool>
  </property>
  <property fmtid="{D5CDD505-2E9C-101B-9397-08002B2CF9AE}" pid="4" name="Jet Reports Last Version Refresh">
    <vt:lpwstr>Version 7.0.5  Released 7/10/2007 9:14:35 AM</vt:lpwstr>
  </property>
  <property fmtid="{D5CDD505-2E9C-101B-9397-08002B2CF9AE}" pid="5" name="Jet Reports Design Mode Active">
    <vt:bool>false</vt:bool>
  </property>
  <property fmtid="{D5CDD505-2E9C-101B-9397-08002B2CF9AE}" pid="6" name="OriginalName">
    <vt:lpwstr>Executive Dashboard1.xlsx</vt:lpwstr>
  </property>
  <property fmtid="{D5CDD505-2E9C-101B-9397-08002B2CF9AE}" pid="7" name="Jet Reports Function Literals">
    <vt:lpwstr>,	;	,	{	}	[@[{0}]]	1033</vt:lpwstr>
  </property>
</Properties>
</file>