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8800" windowHeight="12585"/>
  </bookViews>
  <sheets>
    <sheet name="Read Me" sheetId="638" r:id="rId1"/>
    <sheet name="Options" sheetId="126" state="hidden" r:id="rId2"/>
    <sheet name="Scorecard" sheetId="398" r:id="rId3"/>
    <sheet name="Overview" sheetId="435" r:id="rId4"/>
    <sheet name="P&amp;L" sheetId="162" r:id="rId5"/>
    <sheet name="Balance Sheet" sheetId="7" r:id="rId6"/>
    <sheet name="Acct Ranges" sheetId="98" state="hidden" r:id="rId7"/>
    <sheet name="Sheet6" sheetId="141" state="veryHidden" r:id="rId8"/>
    <sheet name="Sheet7" sheetId="142" state="veryHidden" r:id="rId9"/>
    <sheet name="Sheet10" sheetId="145" state="veryHidden" r:id="rId10"/>
    <sheet name="Sheet42" sheetId="437" state="veryHidden" r:id="rId11"/>
    <sheet name="Sheet43" sheetId="438" state="veryHidden" r:id="rId12"/>
    <sheet name="Sheet44" sheetId="439" state="veryHidden" r:id="rId13"/>
    <sheet name="Sheet45" sheetId="440" state="veryHidden" r:id="rId14"/>
    <sheet name="Sheet46" sheetId="441" state="veryHidden" r:id="rId15"/>
    <sheet name="Sheet47" sheetId="442" state="veryHidden" r:id="rId16"/>
    <sheet name="Sheet4" sheetId="449" state="veryHidden" r:id="rId17"/>
    <sheet name="Sheet5" sheetId="450" state="veryHidden" r:id="rId18"/>
    <sheet name="Sheet8" sheetId="451" state="veryHidden" r:id="rId19"/>
    <sheet name="Sheet12" sheetId="454" state="veryHidden" r:id="rId20"/>
    <sheet name="Sheet13" sheetId="455" state="veryHidden" r:id="rId21"/>
    <sheet name="Sheet14" sheetId="456" state="veryHidden" r:id="rId22"/>
    <sheet name="Sheet15" sheetId="457" state="veryHidden" r:id="rId23"/>
    <sheet name="Sheet17" sheetId="459" state="veryHidden" r:id="rId24"/>
    <sheet name="Sheet19" sheetId="461" state="veryHidden" r:id="rId25"/>
    <sheet name="Sheet20" sheetId="462" state="veryHidden" r:id="rId26"/>
    <sheet name="Sheet21" sheetId="463" state="veryHidden" r:id="rId27"/>
    <sheet name="Sheet3" sheetId="466" state="veryHidden" r:id="rId28"/>
    <sheet name="Sheet9" sheetId="467" state="veryHidden" r:id="rId29"/>
    <sheet name="Sheet11" sheetId="468" state="veryHidden" r:id="rId30"/>
    <sheet name="Sheet18" sheetId="470" state="veryHidden" r:id="rId31"/>
    <sheet name="Sheet22" sheetId="471" state="veryHidden" r:id="rId32"/>
    <sheet name="Sheet32" sheetId="481" state="veryHidden" r:id="rId33"/>
    <sheet name="Sheet33" sheetId="482" state="veryHidden" r:id="rId34"/>
    <sheet name="Sheet34" sheetId="483" state="veryHidden" r:id="rId35"/>
    <sheet name="Sheet16" sheetId="486" state="veryHidden" r:id="rId36"/>
    <sheet name="Sheet23" sheetId="487" state="veryHidden" r:id="rId37"/>
    <sheet name="Sheet24" sheetId="488" state="veryHidden" r:id="rId38"/>
    <sheet name="Sheet25" sheetId="489" state="veryHidden" r:id="rId39"/>
    <sheet name="Sheet26" sheetId="490" state="veryHidden" r:id="rId40"/>
    <sheet name="Sheet27" sheetId="491" state="veryHidden" r:id="rId41"/>
    <sheet name="Sheet29" sheetId="493" state="veryHidden" r:id="rId42"/>
    <sheet name="Sheet30" sheetId="494" state="veryHidden" r:id="rId43"/>
    <sheet name="Sheet31" sheetId="495" state="veryHidden" r:id="rId44"/>
    <sheet name="Sheet28" sheetId="498" state="veryHidden" r:id="rId45"/>
    <sheet name="Sheet35" sheetId="499" state="veryHidden" r:id="rId46"/>
    <sheet name="Sheet36" sheetId="500" state="veryHidden" r:id="rId47"/>
    <sheet name="Sheet37" sheetId="501" state="veryHidden" r:id="rId48"/>
    <sheet name="Sheet38" sheetId="502" state="veryHidden" r:id="rId49"/>
    <sheet name="Sheet39" sheetId="503" state="veryHidden" r:id="rId50"/>
    <sheet name="Sheet41" sheetId="521" state="veryHidden" r:id="rId51"/>
    <sheet name="Sheet48" sheetId="522" state="veryHidden" r:id="rId52"/>
    <sheet name="Sheet49" sheetId="523" state="veryHidden" r:id="rId53"/>
    <sheet name="Sheet40" sheetId="526" state="veryHidden" r:id="rId54"/>
    <sheet name="Sheet50" sheetId="527" state="veryHidden" r:id="rId55"/>
    <sheet name="Sheet51" sheetId="528" state="veryHidden" r:id="rId56"/>
    <sheet name="Sheet52" sheetId="529" state="veryHidden" r:id="rId57"/>
    <sheet name="Sheet53" sheetId="530" state="veryHidden" r:id="rId58"/>
    <sheet name="Sheet54" sheetId="531" state="veryHidden" r:id="rId59"/>
    <sheet name="Sheet56" sheetId="533" state="veryHidden" r:id="rId60"/>
    <sheet name="Sheet57" sheetId="534" state="veryHidden" r:id="rId61"/>
    <sheet name="Sheet58" sheetId="535" state="veryHidden" r:id="rId62"/>
    <sheet name="Sheet126" sheetId="654" state="veryHidden" r:id="rId63"/>
    <sheet name="Sheet127" sheetId="655" state="veryHidden" r:id="rId64"/>
    <sheet name="Sheet128" sheetId="656" state="veryHidden" r:id="rId65"/>
    <sheet name="Sheet129" sheetId="657" state="veryHidden" r:id="rId66"/>
    <sheet name="Sheet130" sheetId="658" state="veryHidden" r:id="rId67"/>
    <sheet name="Sheet131" sheetId="659" state="veryHidden" r:id="rId68"/>
    <sheet name="Sheet132" sheetId="660" state="veryHidden" r:id="rId69"/>
    <sheet name="Sheet133" sheetId="661" state="veryHidden" r:id="rId70"/>
    <sheet name="Sheet134" sheetId="662" state="veryHidden" r:id="rId71"/>
    <sheet name="Sheet135" sheetId="663" state="veryHidden" r:id="rId72"/>
    <sheet name="Sheet136" sheetId="664" state="veryHidden" r:id="rId73"/>
    <sheet name="Sheet137" sheetId="665" state="veryHidden" r:id="rId74"/>
  </sheets>
  <definedNames>
    <definedName name="Accounts_Payable">'Acct Ranges'!$F$33</definedName>
    <definedName name="Accounts_Payable_Days">Scorecard!$I$38</definedName>
    <definedName name="Accounts_Receivable">'Acct Ranges'!$F$12</definedName>
    <definedName name="Annualized_Revenue">'Acct Ranges'!$J$16</definedName>
    <definedName name="Average_Total_Long_Term_Liabilities">'Acct Ranges'!$I$29</definedName>
    <definedName name="Budget_name">Options!$D$4</definedName>
    <definedName name="Budgeted_Depreciation">'Acct Ranges'!$H$24</definedName>
    <definedName name="Budgeted_Gross_Profit">'Acct Ranges'!$H$35</definedName>
    <definedName name="Budgeted_Interest">'Acct Ranges'!$H$37</definedName>
    <definedName name="Budgeted_Net_Sales">'Acct Ranges'!$H$16</definedName>
    <definedName name="Budgeted_Operating_Expenses">'Acct Ranges'!$H$18</definedName>
    <definedName name="Budgeted_Revenue">'Acct Ranges'!$H$40</definedName>
    <definedName name="COGS">'Acct Ranges'!$G$17</definedName>
    <definedName name="COGS_Annual">'Acct Ranges'!$J$17</definedName>
    <definedName name="Current_Assets">'Acct Ranges'!$F$5</definedName>
    <definedName name="Current_Liabilities">'Acct Ranges'!$F$28</definedName>
    <definedName name="Current_Ratio">Scorecard!$D$26</definedName>
    <definedName name="Date_Filter">Options!$H$4</definedName>
    <definedName name="Days_in_Period">Options!$H$5</definedName>
    <definedName name="Depreciation">'Acct Ranges'!$G$24</definedName>
    <definedName name="Depreciation_Annualized">'Acct Ranges'!$J$24</definedName>
    <definedName name="DSO">Scorecard!$I$36</definedName>
    <definedName name="EAT">'Acct Ranges'!$G$39</definedName>
    <definedName name="EAT_Annualized">'Acct Ranges'!$J$39</definedName>
    <definedName name="EBIT">'Acct Ranges'!$G$36</definedName>
    <definedName name="EBT">'Acct Ranges'!$G$38</definedName>
    <definedName name="EBT_Annualized">'Acct Ranges'!$J$38</definedName>
    <definedName name="End_Date">Options!$D$6</definedName>
    <definedName name="Fixed_Assets">'Acct Ranges'!$F$6</definedName>
    <definedName name="Fixed_Assets_Average">'Acct Ranges'!$I$6</definedName>
    <definedName name="Gross_Profit">'Acct Ranges'!$G$35</definedName>
    <definedName name="Interest">'Acct Ranges'!$G$37</definedName>
    <definedName name="Interest_Annualized">'Acct Ranges'!$J$37</definedName>
    <definedName name="Interest_Expense">'Acct Ranges'!$G$20</definedName>
    <definedName name="Inventory">'Acct Ranges'!$F$11</definedName>
    <definedName name="Inventory_Average">'Acct Ranges'!$I$11</definedName>
    <definedName name="Inventory_Days">Scorecard!$I$40</definedName>
    <definedName name="Long_Term_Liabilities">'Acct Ranges'!$F$29</definedName>
    <definedName name="Net_Income">'Acct Ranges'!$G$40</definedName>
    <definedName name="Net_Income_Annualized">'Acct Ranges'!$J$40</definedName>
    <definedName name="Net_Sales">'Acct Ranges'!$G$16</definedName>
    <definedName name="Operating_Expenses">'Acct Ranges'!$G$18</definedName>
    <definedName name="Quick_Ratio">Scorecard!$D$28</definedName>
    <definedName name="Revenue_Annualized">'Acct Ranges'!$J$16</definedName>
    <definedName name="Short_Term_Loans">'Acct Ranges'!$F$13</definedName>
    <definedName name="Start_Date">Options!$D$5</definedName>
    <definedName name="Total_Assets">'Acct Ranges'!$F$27</definedName>
    <definedName name="Total_Assets_Average">'Acct Ranges'!$I$27</definedName>
    <definedName name="Total_Assets_on_Start_Date">'Acct Ranges'!$E$27</definedName>
    <definedName name="Total_Equity">'Acct Ranges'!$F$31</definedName>
    <definedName name="Total_Equity_Average">'Acct Ranges'!$I$31</definedName>
    <definedName name="Total_Liabilities">'Acct Ranges'!$F$30</definedName>
    <definedName name="Total_Liabilities_and_Equity">'Acct Ranges'!$F$32</definedName>
    <definedName name="Working_Capital">Scorecard!$I$25</definedName>
  </definedNames>
  <calcPr calcId="162913"/>
</workbook>
</file>

<file path=xl/calcChain.xml><?xml version="1.0" encoding="utf-8"?>
<calcChain xmlns="http://schemas.openxmlformats.org/spreadsheetml/2006/main">
  <c r="E4" i="126" l="1"/>
  <c r="H4" i="126"/>
  <c r="E5" i="98"/>
  <c r="E27" i="98" s="1"/>
  <c r="F5" i="98"/>
  <c r="E6" i="98"/>
  <c r="F6" i="98"/>
  <c r="I6" i="98" s="1"/>
  <c r="E7" i="98"/>
  <c r="F7" i="98"/>
  <c r="F32" i="98" s="1"/>
  <c r="E14" i="435" s="1"/>
  <c r="E8" i="98"/>
  <c r="F8" i="98"/>
  <c r="F30" i="98" s="1"/>
  <c r="E9" i="98"/>
  <c r="E32" i="98" s="1"/>
  <c r="F9" i="98"/>
  <c r="E10" i="98"/>
  <c r="F10" i="98"/>
  <c r="E11" i="98"/>
  <c r="F11" i="98"/>
  <c r="E12" i="98"/>
  <c r="F12" i="98"/>
  <c r="E13" i="98"/>
  <c r="F13" i="98"/>
  <c r="E14" i="98"/>
  <c r="F14" i="98"/>
  <c r="G16" i="98"/>
  <c r="H16" i="98"/>
  <c r="G17" i="98"/>
  <c r="H17" i="98"/>
  <c r="H39" i="98" s="1"/>
  <c r="G18" i="98"/>
  <c r="G40" i="98" s="1"/>
  <c r="H18" i="98"/>
  <c r="G19" i="98"/>
  <c r="H19" i="98"/>
  <c r="H37" i="98" s="1"/>
  <c r="E57" i="398" s="1"/>
  <c r="F57" i="398" s="1"/>
  <c r="G20" i="98"/>
  <c r="H20" i="98"/>
  <c r="G21" i="98"/>
  <c r="H21" i="98"/>
  <c r="G22" i="98"/>
  <c r="H22" i="98"/>
  <c r="G23" i="98"/>
  <c r="H23" i="98"/>
  <c r="G24" i="98"/>
  <c r="H24" i="98"/>
  <c r="F10" i="7"/>
  <c r="H10" i="7"/>
  <c r="H16" i="7" s="1"/>
  <c r="K22" i="7" s="1"/>
  <c r="F11" i="7"/>
  <c r="H11" i="7"/>
  <c r="F12" i="7"/>
  <c r="H12" i="7"/>
  <c r="F13" i="7"/>
  <c r="H13" i="7"/>
  <c r="F14" i="7"/>
  <c r="H14" i="7"/>
  <c r="F15" i="7"/>
  <c r="H15" i="7"/>
  <c r="F19" i="7"/>
  <c r="H19" i="7"/>
  <c r="H22" i="7" s="1"/>
  <c r="F20" i="7"/>
  <c r="H20" i="7"/>
  <c r="F21" i="7"/>
  <c r="H21" i="7"/>
  <c r="F30" i="7"/>
  <c r="H30" i="7"/>
  <c r="H37" i="7" s="1"/>
  <c r="K23" i="7" s="1"/>
  <c r="F31" i="7"/>
  <c r="H31" i="7"/>
  <c r="F32" i="7"/>
  <c r="H32" i="7"/>
  <c r="F33" i="7"/>
  <c r="H33" i="7"/>
  <c r="F34" i="7"/>
  <c r="H34" i="7"/>
  <c r="F35" i="7"/>
  <c r="H35" i="7"/>
  <c r="F36" i="7"/>
  <c r="H36" i="7"/>
  <c r="F40" i="7"/>
  <c r="H40" i="7"/>
  <c r="F41" i="7"/>
  <c r="H41" i="7"/>
  <c r="F42" i="7"/>
  <c r="H42" i="7"/>
  <c r="H43" i="7"/>
  <c r="H45" i="7" s="1"/>
  <c r="H53" i="7" s="1"/>
  <c r="F48" i="7"/>
  <c r="H48" i="7"/>
  <c r="F49" i="7"/>
  <c r="H49" i="7"/>
  <c r="F50" i="7"/>
  <c r="H50" i="7"/>
  <c r="E13" i="162"/>
  <c r="F13" i="162"/>
  <c r="H13" i="162"/>
  <c r="E14" i="162"/>
  <c r="F14" i="162"/>
  <c r="H14" i="162"/>
  <c r="L14" i="162" s="1"/>
  <c r="E15" i="162"/>
  <c r="F15" i="162"/>
  <c r="F19" i="162" s="1"/>
  <c r="H15" i="162"/>
  <c r="H19" i="162" s="1"/>
  <c r="E16" i="162"/>
  <c r="F16" i="162"/>
  <c r="H16" i="162"/>
  <c r="L16" i="162" s="1"/>
  <c r="E17" i="162"/>
  <c r="F17" i="162"/>
  <c r="J17" i="162" s="1"/>
  <c r="H17" i="162"/>
  <c r="E18" i="162"/>
  <c r="F18" i="162"/>
  <c r="J18" i="162" s="1"/>
  <c r="H18" i="162"/>
  <c r="E22" i="162"/>
  <c r="F22" i="162"/>
  <c r="L22" i="162" s="1"/>
  <c r="H22" i="162"/>
  <c r="H26" i="162" s="1"/>
  <c r="E23" i="162"/>
  <c r="F23" i="162"/>
  <c r="J23" i="162" s="1"/>
  <c r="H23" i="162"/>
  <c r="E24" i="162"/>
  <c r="F24" i="162"/>
  <c r="L24" i="162" s="1"/>
  <c r="H24" i="162"/>
  <c r="E25" i="162"/>
  <c r="F25" i="162"/>
  <c r="H25" i="162"/>
  <c r="L25" i="162" s="1"/>
  <c r="F26" i="162"/>
  <c r="E32" i="162"/>
  <c r="F32" i="162"/>
  <c r="F39" i="162" s="1"/>
  <c r="H32" i="162"/>
  <c r="E33" i="162"/>
  <c r="F33" i="162"/>
  <c r="L33" i="162" s="1"/>
  <c r="H33" i="162"/>
  <c r="E34" i="162"/>
  <c r="F34" i="162"/>
  <c r="L34" i="162" s="1"/>
  <c r="H34" i="162"/>
  <c r="E35" i="162"/>
  <c r="F35" i="162"/>
  <c r="J35" i="162" s="1"/>
  <c r="H35" i="162"/>
  <c r="H39" i="162" s="1"/>
  <c r="E36" i="162"/>
  <c r="F36" i="162"/>
  <c r="H36" i="162"/>
  <c r="E37" i="162"/>
  <c r="F37" i="162"/>
  <c r="H37" i="162"/>
  <c r="L37" i="162" s="1"/>
  <c r="E38" i="162"/>
  <c r="F38" i="162"/>
  <c r="L38" i="162" s="1"/>
  <c r="H38" i="162"/>
  <c r="E43" i="162"/>
  <c r="F43" i="162"/>
  <c r="H43" i="162"/>
  <c r="L43" i="162" s="1"/>
  <c r="E44" i="162"/>
  <c r="F44" i="162"/>
  <c r="H44" i="162"/>
  <c r="E45" i="162"/>
  <c r="F45" i="162"/>
  <c r="H45" i="162"/>
  <c r="L45" i="162" s="1"/>
  <c r="E49" i="162"/>
  <c r="F49" i="162"/>
  <c r="H49" i="162"/>
  <c r="H40" i="98"/>
  <c r="E13" i="398" s="1"/>
  <c r="H38" i="98"/>
  <c r="G38" i="98"/>
  <c r="G37" i="98"/>
  <c r="H36" i="98"/>
  <c r="G35" i="98"/>
  <c r="D11" i="398" s="1"/>
  <c r="F33" i="98"/>
  <c r="E33" i="98"/>
  <c r="F31" i="98"/>
  <c r="I21" i="398" s="1"/>
  <c r="E30" i="98"/>
  <c r="F29" i="98"/>
  <c r="E29" i="98"/>
  <c r="E28" i="98"/>
  <c r="F27" i="98"/>
  <c r="I11" i="98"/>
  <c r="H51" i="7"/>
  <c r="M23" i="7" s="1"/>
  <c r="K26" i="7"/>
  <c r="K25" i="7"/>
  <c r="G51" i="162"/>
  <c r="L49" i="162"/>
  <c r="J49" i="162"/>
  <c r="J45" i="162"/>
  <c r="L44" i="162"/>
  <c r="J44" i="162"/>
  <c r="J43" i="162"/>
  <c r="J38" i="162"/>
  <c r="J37" i="162"/>
  <c r="L36" i="162"/>
  <c r="J36" i="162"/>
  <c r="L35" i="162"/>
  <c r="J34" i="162"/>
  <c r="J32" i="162"/>
  <c r="L27" i="162"/>
  <c r="J24" i="162"/>
  <c r="L23" i="162"/>
  <c r="J22" i="162"/>
  <c r="L17" i="162"/>
  <c r="J16" i="162"/>
  <c r="J14" i="162"/>
  <c r="L13" i="162"/>
  <c r="J13" i="162"/>
  <c r="E6" i="162"/>
  <c r="D57" i="398"/>
  <c r="E55" i="398"/>
  <c r="D55" i="398"/>
  <c r="E53" i="398"/>
  <c r="I19" i="398"/>
  <c r="I11" i="398"/>
  <c r="I10" i="398"/>
  <c r="D6" i="126"/>
  <c r="H5" i="126" s="1"/>
  <c r="D5" i="126"/>
  <c r="I27" i="98" l="1"/>
  <c r="F55" i="398"/>
  <c r="E9" i="435"/>
  <c r="D42" i="398"/>
  <c r="D40" i="398"/>
  <c r="D38" i="398"/>
  <c r="H11" i="435"/>
  <c r="J39" i="162"/>
  <c r="L39" i="162"/>
  <c r="H25" i="7"/>
  <c r="L26" i="162"/>
  <c r="H28" i="162"/>
  <c r="H41" i="162" s="1"/>
  <c r="H47" i="162" s="1"/>
  <c r="H51" i="162" s="1"/>
  <c r="F28" i="162"/>
  <c r="F41" i="162" s="1"/>
  <c r="F47" i="162" s="1"/>
  <c r="L19" i="162"/>
  <c r="J19" i="162"/>
  <c r="D13" i="398"/>
  <c r="F13" i="398" s="1"/>
  <c r="D10" i="398"/>
  <c r="I29" i="98"/>
  <c r="I24" i="398"/>
  <c r="D53" i="398"/>
  <c r="L18" i="162"/>
  <c r="L32" i="162"/>
  <c r="G39" i="98"/>
  <c r="E29" i="435" s="1"/>
  <c r="F53" i="398"/>
  <c r="J15" i="162"/>
  <c r="L23" i="7"/>
  <c r="H35" i="98"/>
  <c r="E11" i="398" s="1"/>
  <c r="F11" i="398" s="1"/>
  <c r="I13" i="398"/>
  <c r="E24" i="435"/>
  <c r="J25" i="162"/>
  <c r="J33" i="162"/>
  <c r="L15" i="162"/>
  <c r="E31" i="98"/>
  <c r="I31" i="98" s="1"/>
  <c r="G36" i="98"/>
  <c r="D36" i="398" s="1"/>
  <c r="J26" i="162"/>
  <c r="F28" i="98"/>
  <c r="I28" i="98" s="1"/>
  <c r="C6" i="398"/>
  <c r="J40" i="98"/>
  <c r="J37" i="98"/>
  <c r="J17" i="98"/>
  <c r="J24" i="98"/>
  <c r="J16" i="98"/>
  <c r="J23" i="98"/>
  <c r="J22" i="98"/>
  <c r="J21" i="98"/>
  <c r="J38" i="98"/>
  <c r="J20" i="98"/>
  <c r="J19" i="98"/>
  <c r="J18" i="98"/>
  <c r="L22" i="7"/>
  <c r="E10" i="398"/>
  <c r="F10" i="398" s="1"/>
  <c r="D5" i="7"/>
  <c r="E7" i="162"/>
  <c r="D4" i="126"/>
  <c r="E5" i="162" s="1"/>
  <c r="L28" i="162" l="1"/>
  <c r="H26" i="435"/>
  <c r="J28" i="162"/>
  <c r="D19" i="398"/>
  <c r="I47" i="398"/>
  <c r="J39" i="98"/>
  <c r="D17" i="398" s="1"/>
  <c r="D26" i="398"/>
  <c r="I17" i="398"/>
  <c r="D28" i="398"/>
  <c r="I25" i="398"/>
  <c r="D47" i="398" s="1"/>
  <c r="I22" i="398"/>
  <c r="D15" i="398"/>
  <c r="L19" i="435"/>
  <c r="D51" i="398"/>
  <c r="D49" i="398"/>
  <c r="I36" i="398"/>
  <c r="E19" i="435"/>
  <c r="H16" i="435"/>
  <c r="I40" i="398"/>
  <c r="I38" i="398"/>
  <c r="H21" i="435"/>
  <c r="L41" i="162"/>
  <c r="J41" i="162"/>
  <c r="D32" i="398" l="1"/>
  <c r="D30" i="398"/>
  <c r="F51" i="162"/>
  <c r="L47" i="162"/>
  <c r="J47" i="162"/>
  <c r="J23" i="435"/>
  <c r="F30" i="398" l="1"/>
  <c r="L51" i="162"/>
  <c r="J51" i="162"/>
</calcChain>
</file>

<file path=xl/sharedStrings.xml><?xml version="1.0" encoding="utf-8"?>
<sst xmlns="http://schemas.openxmlformats.org/spreadsheetml/2006/main" count="10631" uniqueCount="838">
  <si>
    <t>Revenue</t>
  </si>
  <si>
    <t>Cost of Goods Sold</t>
  </si>
  <si>
    <t>Account Range</t>
  </si>
  <si>
    <t>Net Income</t>
  </si>
  <si>
    <t>Hide</t>
  </si>
  <si>
    <t>Auto+Hide+Values</t>
  </si>
  <si>
    <t>PROFIT AND LOSS</t>
  </si>
  <si>
    <t>Copy of Values for charting purposes only</t>
  </si>
  <si>
    <t>Variance to Budget</t>
  </si>
  <si>
    <t>Current Period</t>
  </si>
  <si>
    <t>Budget</t>
  </si>
  <si>
    <t>%</t>
  </si>
  <si>
    <t>Amount</t>
  </si>
  <si>
    <t>Annualized Value</t>
  </si>
  <si>
    <t>REVENUE</t>
  </si>
  <si>
    <t>41100..41500</t>
  </si>
  <si>
    <t xml:space="preserve">  Sales of Jobs</t>
  </si>
  <si>
    <t>42000..42500</t>
  </si>
  <si>
    <t xml:space="preserve">  Sales of Resources</t>
  </si>
  <si>
    <t>43000..43500</t>
  </si>
  <si>
    <t xml:space="preserve">  Sales of Raw Materials</t>
  </si>
  <si>
    <t>44000..44500</t>
  </si>
  <si>
    <t xml:space="preserve">  Retail Sales</t>
  </si>
  <si>
    <t>45000..45200</t>
  </si>
  <si>
    <t xml:space="preserve">  Consulting fees &amp; Sales Discounts</t>
  </si>
  <si>
    <t>TOTAL REVENUE</t>
  </si>
  <si>
    <t>COST OF GOODS SOLD</t>
  </si>
  <si>
    <t xml:space="preserve">  Cost of Jobs</t>
  </si>
  <si>
    <t>52000..52300</t>
  </si>
  <si>
    <t xml:space="preserve">  Cost of Resources</t>
  </si>
  <si>
    <t>53000..53900</t>
  </si>
  <si>
    <t xml:space="preserve">  Cost of Raw Materials</t>
  </si>
  <si>
    <t>54000..54900</t>
  </si>
  <si>
    <t xml:space="preserve">  Cost of Retail</t>
  </si>
  <si>
    <t>57000..57900</t>
  </si>
  <si>
    <t xml:space="preserve">  Variance</t>
  </si>
  <si>
    <t>TOTAL COST OF GOODS SOLD</t>
  </si>
  <si>
    <t>GROSS PROFIT</t>
  </si>
  <si>
    <t>OPERATING EXPENSES</t>
  </si>
  <si>
    <t>61000..61400</t>
  </si>
  <si>
    <t xml:space="preserve">  Selling Expenses</t>
  </si>
  <si>
    <t>62000..62950</t>
  </si>
  <si>
    <t xml:space="preserve">  Personnel Expenses</t>
  </si>
  <si>
    <t>63000..63500</t>
  </si>
  <si>
    <t xml:space="preserve">  Vehicle Expenses </t>
  </si>
  <si>
    <t>64000..64400</t>
  </si>
  <si>
    <t xml:space="preserve">  Computer Expenses</t>
  </si>
  <si>
    <t>65000..65400</t>
  </si>
  <si>
    <t xml:space="preserve">  Building Maintenance</t>
  </si>
  <si>
    <t>65500..65900</t>
  </si>
  <si>
    <t xml:space="preserve">  Admin Expenses</t>
  </si>
  <si>
    <t>66000..66400</t>
  </si>
  <si>
    <t xml:space="preserve">  Depreciation of Fixed Assets</t>
  </si>
  <si>
    <t>67000..67600</t>
  </si>
  <si>
    <t xml:space="preserve">  Other Operating Expenses</t>
  </si>
  <si>
    <t>TOTAL OPERATING EXPENSES</t>
  </si>
  <si>
    <t>OPERATING INCOME (EBIT)</t>
  </si>
  <si>
    <t>70000..79950</t>
  </si>
  <si>
    <t>Interest Income</t>
  </si>
  <si>
    <t>80000..80600</t>
  </si>
  <si>
    <t>Interest Expense</t>
  </si>
  <si>
    <t>NET INTEREST</t>
  </si>
  <si>
    <t>EBT (Earnings Before Tax)</t>
  </si>
  <si>
    <t>84000..84300</t>
  </si>
  <si>
    <t>Taxes</t>
  </si>
  <si>
    <t>EAT (Earnings After Tax)</t>
  </si>
  <si>
    <t>Extraordinary Income</t>
  </si>
  <si>
    <t>NET INCOME</t>
  </si>
  <si>
    <t>BALANCE SHEET</t>
  </si>
  <si>
    <t>ASSETS</t>
  </si>
  <si>
    <t>Beginning Balance</t>
  </si>
  <si>
    <t>Average Balance</t>
  </si>
  <si>
    <t>Current Assets</t>
  </si>
  <si>
    <t>Current_Assets</t>
  </si>
  <si>
    <t>Fixed_Assets</t>
  </si>
  <si>
    <t>Current_Liabilities</t>
  </si>
  <si>
    <t>Long_Term_Liabilities</t>
  </si>
  <si>
    <t>Total_Equity</t>
  </si>
  <si>
    <t>TOTAL</t>
  </si>
  <si>
    <t>Fixed Assets</t>
  </si>
  <si>
    <t>TOTAL ASSETS</t>
  </si>
  <si>
    <t>LIABILITIES AND EQUITY</t>
  </si>
  <si>
    <t>Current Liabilities</t>
  </si>
  <si>
    <t>Long Term Liabilities</t>
  </si>
  <si>
    <t>TOTAL LIABILITIES</t>
  </si>
  <si>
    <t>TOTAL LIABILITIES &amp; EQUITY</t>
  </si>
  <si>
    <t>KEY PERFORMANCE METRICS</t>
  </si>
  <si>
    <t>Profitability Indicators</t>
  </si>
  <si>
    <t>Target</t>
  </si>
  <si>
    <t>Balance Sheet</t>
  </si>
  <si>
    <t>Net Income for Period</t>
  </si>
  <si>
    <t>Gross Margin</t>
  </si>
  <si>
    <t>Profit Margin</t>
  </si>
  <si>
    <t xml:space="preserve">   Total Assets</t>
  </si>
  <si>
    <t>Long Term Loans</t>
  </si>
  <si>
    <t>Equity</t>
  </si>
  <si>
    <t xml:space="preserve">   Total Liabilities</t>
  </si>
  <si>
    <t>Capital Employed</t>
  </si>
  <si>
    <t>Liquidity Indicators</t>
  </si>
  <si>
    <t>Working Capital</t>
  </si>
  <si>
    <t>Current Ratio</t>
  </si>
  <si>
    <t>Quick Ratio</t>
  </si>
  <si>
    <t>Activity</t>
  </si>
  <si>
    <t>Days Sales Outstanding (DSO)</t>
  </si>
  <si>
    <t>Accounts Payable Days</t>
  </si>
  <si>
    <t>Inventory Days</t>
  </si>
  <si>
    <t>Tax Management</t>
  </si>
  <si>
    <t>Effective Tax Rate</t>
  </si>
  <si>
    <t>Budget Name</t>
  </si>
  <si>
    <t xml:space="preserve">Budget Name: </t>
  </si>
  <si>
    <t>Start Date</t>
  </si>
  <si>
    <t>End Date</t>
  </si>
  <si>
    <t>Operating Expense</t>
  </si>
  <si>
    <t>Extraordinary Items</t>
  </si>
  <si>
    <t>Gains and Losses</t>
  </si>
  <si>
    <t>Ending Balance</t>
  </si>
  <si>
    <t>Annualized Estimate</t>
  </si>
  <si>
    <t>Net Change</t>
  </si>
  <si>
    <t>Inventory</t>
  </si>
  <si>
    <t>Accounts Receiveable</t>
  </si>
  <si>
    <t>Short Term Loans</t>
  </si>
  <si>
    <t>Accounts Payable</t>
  </si>
  <si>
    <t>Total Assets</t>
  </si>
  <si>
    <t>Total Liabilities</t>
  </si>
  <si>
    <t>Total Liabilities + Equity</t>
  </si>
  <si>
    <t>Gross Profit</t>
  </si>
  <si>
    <t>Operating Income (EBIT)</t>
  </si>
  <si>
    <t>Earnings before Taxes (EBT)</t>
  </si>
  <si>
    <t>Earnings after Taxes (EAT)</t>
  </si>
  <si>
    <t>Total Interest</t>
  </si>
  <si>
    <t>Number of days in Period</t>
  </si>
  <si>
    <t>Depreciation</t>
  </si>
  <si>
    <t>Title</t>
  </si>
  <si>
    <t>Value</t>
  </si>
  <si>
    <t>Option</t>
  </si>
  <si>
    <t>Filter</t>
  </si>
  <si>
    <t>Item</t>
  </si>
  <si>
    <t>Calculated Items</t>
  </si>
  <si>
    <t>Enter account ranges in highlighted cells</t>
  </si>
  <si>
    <t>some signs reversed</t>
  </si>
  <si>
    <t>Total Equity</t>
  </si>
  <si>
    <t>Long term Liabilities</t>
  </si>
  <si>
    <t>Net Income for year</t>
  </si>
  <si>
    <t>Datefilter</t>
  </si>
  <si>
    <t>=Budget_name</t>
  </si>
  <si>
    <t>=Start_Date</t>
  </si>
  <si>
    <t>=End_Date</t>
  </si>
  <si>
    <t>49950</t>
  </si>
  <si>
    <t>51000</t>
  </si>
  <si>
    <t>85300</t>
  </si>
  <si>
    <t>=F10</t>
  </si>
  <si>
    <t>=H10</t>
  </si>
  <si>
    <t>=IF((End_Date-Start_Date+1=366),F12,365/(End_Date-Start_Date+1)*F12)</t>
  </si>
  <si>
    <t>=-GL("Balance",$B13,Start_Date,End_Date)</t>
  </si>
  <si>
    <t>=-GL("Budget",$B13,Start_Date,End_Date,,,,,,,Budget_name)</t>
  </si>
  <si>
    <t>=IF(F13=0,0,IF(H13=0,"∞",(F13-H13)/H13))</t>
  </si>
  <si>
    <t>=F13-H13</t>
  </si>
  <si>
    <t>=IF((End_Date-Start_Date+1=366),F13,365/(End_Date-Start_Date+1)*F13)</t>
  </si>
  <si>
    <t>=F13</t>
  </si>
  <si>
    <t>=H13</t>
  </si>
  <si>
    <t>=-GL("Balance",$B14,Start_Date,End_Date)</t>
  </si>
  <si>
    <t>=-GL("Budget",$B14,Start_Date,End_Date,,,,,,,Budget_name)</t>
  </si>
  <si>
    <t>=IF(F14=0,"-",IF(H14=0,"∞",(F14-H14)/H14))</t>
  </si>
  <si>
    <t>=F14-H14</t>
  </si>
  <si>
    <t>=F14</t>
  </si>
  <si>
    <t>=H14</t>
  </si>
  <si>
    <t>=-GL("Balance",$B15,Start_Date,End_Date)</t>
  </si>
  <si>
    <t>=-GL("Budget",$B15,Start_Date,End_Date,,,,,,,Budget_name)</t>
  </si>
  <si>
    <t>=IF(F15=0,"-",IF(H15=0,"∞",(F15-H15)/H15))</t>
  </si>
  <si>
    <t>=F15-H15</t>
  </si>
  <si>
    <t>=F15</t>
  </si>
  <si>
    <t>=H15</t>
  </si>
  <si>
    <t>=-GL("Balance",$B16,Start_Date,End_Date)</t>
  </si>
  <si>
    <t>=-GL("Budget",$B16,Start_Date,End_Date,,,,,,,Budget_name)</t>
  </si>
  <si>
    <t>=IF(F16=0,"-",IF(H16=0,"∞",(F16-H16)/H16))</t>
  </si>
  <si>
    <t>=F16-H16</t>
  </si>
  <si>
    <t>=F16</t>
  </si>
  <si>
    <t>=H16</t>
  </si>
  <si>
    <t>=-GL("Balance",$B17,Start_Date,End_Date)</t>
  </si>
  <si>
    <t>=-GL("Budget",$B17,Start_Date,End_Date,,,,,,,Budget_name)</t>
  </si>
  <si>
    <t>=IF(F17=0,"-",IF(H17=0,"∞",(F17-H17)/H17))</t>
  </si>
  <si>
    <t>=F17-H17</t>
  </si>
  <si>
    <t>=F17</t>
  </si>
  <si>
    <t>=H17</t>
  </si>
  <si>
    <t>=SUM(F13:F17)</t>
  </si>
  <si>
    <t>=SUM(H13:H17)</t>
  </si>
  <si>
    <t>=IF(F18=0,"-",IF(H18=0,"∞",(F18-H18)/H18))</t>
  </si>
  <si>
    <t>=F18-H18</t>
  </si>
  <si>
    <t>=IF((End_Date-Start_Date+1=366),F18,365/(End_Date-Start_Date+1)*F18)</t>
  </si>
  <si>
    <t>=F18</t>
  </si>
  <si>
    <t>=H18</t>
  </si>
  <si>
    <t>=-GL("Balance",$B21,Start_Date,End_Date)</t>
  </si>
  <si>
    <t>=-GL("Budget",$B21,Start_Date,End_Date,,,,,,,Budget_name)</t>
  </si>
  <si>
    <t>=IF(F21=0,"-",IF(H21=0,"∞",(F21-H21)/H21))</t>
  </si>
  <si>
    <t>=F21-H21</t>
  </si>
  <si>
    <t>=-F21</t>
  </si>
  <si>
    <t>=-H21</t>
  </si>
  <si>
    <t>=-GL("Balance",$B22,Start_Date,End_Date)</t>
  </si>
  <si>
    <t>=-GL("Budget",$B22,Start_Date,End_Date,,,,,,,Budget_name)</t>
  </si>
  <si>
    <t>=IF(F22=0,"-",IF(H22=0,"∞",(F22-H22)/H22))</t>
  </si>
  <si>
    <t>=F22-H22</t>
  </si>
  <si>
    <t>=-F22</t>
  </si>
  <si>
    <t>=-H22</t>
  </si>
  <si>
    <t>=-GL("Balance",$B23,Start_Date,End_Date)</t>
  </si>
  <si>
    <t>=-GL("Budget",$B23,Start_Date,End_Date,,,,,,,Budget_name)</t>
  </si>
  <si>
    <t>=IF(F23=0,"-",IF(H23=0,"∞",(F23-H23)/H23))</t>
  </si>
  <si>
    <t>=F23-H23</t>
  </si>
  <si>
    <t>=-F23</t>
  </si>
  <si>
    <t>=-H23</t>
  </si>
  <si>
    <t>=-GL("Balance",$B24,Start_Date,End_Date)</t>
  </si>
  <si>
    <t>=-GL("Budget",$B24,Start_Date,End_Date,,,,,,,Budget_name)</t>
  </si>
  <si>
    <t>=IF(F24=0,"-",IF(H24=0,"∞",(F24-H24)/H24))</t>
  </si>
  <si>
    <t>=F24-H24</t>
  </si>
  <si>
    <t>=-F24</t>
  </si>
  <si>
    <t>=-H24</t>
  </si>
  <si>
    <t>=-GL("Balance",$B25,Start_Date,End_Date)</t>
  </si>
  <si>
    <t>=-GL("Budget",$B25,Start_Date,End_Date,,,,,,,Budget_name)</t>
  </si>
  <si>
    <t>=IF(F25=0,"-",IF(H25=0,"∞",(F25-H25)/H25))</t>
  </si>
  <si>
    <t>=F25-H25</t>
  </si>
  <si>
    <t>=-F25</t>
  </si>
  <si>
    <t>=-H25</t>
  </si>
  <si>
    <t>=SUM(F21:F25)</t>
  </si>
  <si>
    <t>=SUM(H21:H25)</t>
  </si>
  <si>
    <t>=IF(F26=0,"-",IF(H26=0,"∞",(F26-H26)/H26))</t>
  </si>
  <si>
    <t>=F26-H26</t>
  </si>
  <si>
    <t>=IF((End_Date-Start_Date+1=366),F26,365/(End_Date-Start_Date+1)*F26)</t>
  </si>
  <si>
    <t>=-F26</t>
  </si>
  <si>
    <t>=-H26</t>
  </si>
  <si>
    <t>=F27-H27</t>
  </si>
  <si>
    <t>=F18+F26</t>
  </si>
  <si>
    <t>=H18+H26</t>
  </si>
  <si>
    <t>=IF(F28=0,"-",IF(H28=0,"∞",(F28-H28)/H28))</t>
  </si>
  <si>
    <t>=F28-H28</t>
  </si>
  <si>
    <t>=IF((End_Date-Start_Date+1=366),F28,365/(End_Date-Start_Date+1)*F28)</t>
  </si>
  <si>
    <t>=-GL("Balance",$B32,Start_Date,End_Date)</t>
  </si>
  <si>
    <t>=-GL("Budget",$B32,Start_Date,End_Date,,,,,,,Budget_name)</t>
  </si>
  <si>
    <t>=IF(F32=0,"-",IF(H32=0,"∞",(F32-H32)/H32))</t>
  </si>
  <si>
    <t>=F32-H32</t>
  </si>
  <si>
    <t>=-F32</t>
  </si>
  <si>
    <t>=-H32</t>
  </si>
  <si>
    <t>=-GL("Balance",$B33,Start_Date,End_Date)</t>
  </si>
  <si>
    <t>=-GL("Budget",$B33,Start_Date,End_Date,,,,,,,Budget_name)</t>
  </si>
  <si>
    <t>=IF(F33=0,"-",IF(H33=0,"∞",(F33-H33)/H33))</t>
  </si>
  <si>
    <t>=F33-H33</t>
  </si>
  <si>
    <t>=-F33</t>
  </si>
  <si>
    <t>=-H33</t>
  </si>
  <si>
    <t>=-GL("Balance",$B34,Start_Date,End_Date)</t>
  </si>
  <si>
    <t>=-GL("Budget",$B34,Start_Date,End_Date,,,,,,,Budget_name)</t>
  </si>
  <si>
    <t>=IF(F34=0,"-",IF(H34=0,"∞",(F34-H34)/H34))</t>
  </si>
  <si>
    <t>=F34-H34</t>
  </si>
  <si>
    <t>=-F34</t>
  </si>
  <si>
    <t>=-H34</t>
  </si>
  <si>
    <t>=-GL("Balance",$B35,Start_Date,End_Date)</t>
  </si>
  <si>
    <t>=-GL("Budget",$B35,Start_Date,End_Date,,,,,,,Budget_name)</t>
  </si>
  <si>
    <t>=IF(F35=0,"-",IF(H35=0,"∞",(F35-H35)/H35))</t>
  </si>
  <si>
    <t>=F35-H35</t>
  </si>
  <si>
    <t>=-F35</t>
  </si>
  <si>
    <t>=-H35</t>
  </si>
  <si>
    <t>=-GL("Balance",$B36,Start_Date,End_Date)</t>
  </si>
  <si>
    <t>=-GL("Budget",$B36,Start_Date,End_Date,,,,,,,Budget_name)</t>
  </si>
  <si>
    <t>=IF(F36=0,"-",IF(H36=0,"∞",(F36-H36)/H36))</t>
  </si>
  <si>
    <t>=F36-H36</t>
  </si>
  <si>
    <t>=-F36</t>
  </si>
  <si>
    <t>=-H36</t>
  </si>
  <si>
    <t>=-GL("Balance",$B37,Start_Date,End_Date)</t>
  </si>
  <si>
    <t>=-GL("Budget",$B37,Start_Date,End_Date,,,,,,,Budget_name)</t>
  </si>
  <si>
    <t>=IF(F37=0,"-",IF(H37=0,"∞",(F37-H37)/H37))</t>
  </si>
  <si>
    <t>=F37-H37</t>
  </si>
  <si>
    <t>=-F37</t>
  </si>
  <si>
    <t>=-H37</t>
  </si>
  <si>
    <t>=-GL("Balance",$B38,Start_Date,End_Date)</t>
  </si>
  <si>
    <t>=-GL("Budget",$B38,Start_Date,End_Date,,,,,,,Budget_name)</t>
  </si>
  <si>
    <t>=IF(F38=0,"-",IF(H38=0,"∞",(F38-H38)/H38))</t>
  </si>
  <si>
    <t>=F38-H38</t>
  </si>
  <si>
    <t>=IF((End_Date-Start_Date+1=366),F38,365/(End_Date-Start_Date+1)*F38)</t>
  </si>
  <si>
    <t>=-F38</t>
  </si>
  <si>
    <t>=-H38</t>
  </si>
  <si>
    <t>=-GL("Balance",$B39,Start_Date,End_Date)</t>
  </si>
  <si>
    <t>=-GL("Budget",$B39,Start_Date,End_Date,,,,,,,Budget_name)</t>
  </si>
  <si>
    <t>=IF(F39=0,"-",IF(H39=0,"∞",(F39-H39)/H39))</t>
  </si>
  <si>
    <t>=F39-H39</t>
  </si>
  <si>
    <t>=-F39</t>
  </si>
  <si>
    <t>=-H39</t>
  </si>
  <si>
    <t>=SUM(F32:F39)</t>
  </si>
  <si>
    <t>=SUM(H32:H39)</t>
  </si>
  <si>
    <t>=IF(F40=0,"-",IF(H40=0,"∞",(F40-H40)/H40))</t>
  </si>
  <si>
    <t>=F40-H40</t>
  </si>
  <si>
    <t>=-F40</t>
  </si>
  <si>
    <t>=-H40</t>
  </si>
  <si>
    <t>=F28+F40</t>
  </si>
  <si>
    <t>=H28+H40</t>
  </si>
  <si>
    <t>=IF(F42=0,"-",IF(H42=0,"∞",(F42-H42)/H42))</t>
  </si>
  <si>
    <t>=F42-H42</t>
  </si>
  <si>
    <t>=IF((End_Date-Start_Date+1=366),F42,365/(End_Date-Start_Date+1)*F42)</t>
  </si>
  <si>
    <t>=-GL("Balance",$B44,Start_Date,End_Date)</t>
  </si>
  <si>
    <t>=-GL("Budget",$B44,Start_Date,End_Date,,,,,,,Budget_name)</t>
  </si>
  <si>
    <t>=IF(F44=0,"-",IF(H44=0,"∞",(F44-H44)/H44))</t>
  </si>
  <si>
    <t>=F44-H44</t>
  </si>
  <si>
    <t>=F44</t>
  </si>
  <si>
    <t>=H44</t>
  </si>
  <si>
    <t>=-GL("Balance",$B45,Start_Date,End_Date)</t>
  </si>
  <si>
    <t>=-GL("Budget",$B45,Start_Date,End_Date,,,,,,,Budget_name)</t>
  </si>
  <si>
    <t>=IF(F45=0,"-",IF(H45=0,"∞",(F45-H45)/H45))</t>
  </si>
  <si>
    <t>=F45-H45</t>
  </si>
  <si>
    <t>=F45</t>
  </si>
  <si>
    <t>=H45</t>
  </si>
  <si>
    <t>=SUM(F44:F45)</t>
  </si>
  <si>
    <t>=SUM(H44:H45)</t>
  </si>
  <si>
    <t>=IF(F46=0,"-",IF(H46=0,"∞",(F46-H46)/H46))</t>
  </si>
  <si>
    <t>=F46-H46</t>
  </si>
  <si>
    <t>=F46</t>
  </si>
  <si>
    <t>=H46</t>
  </si>
  <si>
    <t>=F42+F46</t>
  </si>
  <si>
    <t>=H42+H46</t>
  </si>
  <si>
    <t>=IF(F48=0,"-",IF(H48=0,"∞",(F48-H48)/H48))</t>
  </si>
  <si>
    <t>=F48-H48</t>
  </si>
  <si>
    <t>=IF((End_Date-Start_Date+1=366),F48,365/(End_Date-Start_Date+1)*F48)</t>
  </si>
  <si>
    <t>=-GL("Balance",$B50,Start_Date,End_Date)</t>
  </si>
  <si>
    <t>=-GL("Budget",$B50,Start_Date,End_Date,,,,,,,Budget_name)</t>
  </si>
  <si>
    <t>=IF(F50=0,"-",IF(H50=0,"∞",(F50-H50)/H50))</t>
  </si>
  <si>
    <t>=F50-H50</t>
  </si>
  <si>
    <t>=F50</t>
  </si>
  <si>
    <t>=H50</t>
  </si>
  <si>
    <t>=F51-H51</t>
  </si>
  <si>
    <t>=SUM(F48:F50)</t>
  </si>
  <si>
    <t>=SUM(H48:H50)</t>
  </si>
  <si>
    <t>=IF(F52=0,"-",IF(H52=0,"∞",(F52-H52)/H52))</t>
  </si>
  <si>
    <t>=F52-H52</t>
  </si>
  <si>
    <t>=IF((End_Date-Start_Date+1=366),F52,365/(End_Date-Start_Date+1)*F52)</t>
  </si>
  <si>
    <t>=-GL("Balance",$B54,Start_Date,End_Date)</t>
  </si>
  <si>
    <t>=-GL("Budget",$B54,Start_Date,End_Date,,,,,,,Budget_name)</t>
  </si>
  <si>
    <t>=-GL("Balance",F54,Start_Date,End_Date)</t>
  </si>
  <si>
    <t>=-GL("Balance",H54,Start_Date,End_Date)</t>
  </si>
  <si>
    <t>=SUM(F52:F54)</t>
  </si>
  <si>
    <t>=SUM(H52:H54)</t>
  </si>
  <si>
    <t>=IF(F56=0,"-",IF(H56=0,"∞",(F56-H56)/H56))</t>
  </si>
  <si>
    <t>=F56-H56</t>
  </si>
  <si>
    <t>=IF((End_Date-Start_Date+1=366),F56,365/(End_Date-Start_Date+1)*F56)</t>
  </si>
  <si>
    <t>Hide+Auto+Values+Formulas=Sheet6,Sheet7+FormulasOnly</t>
  </si>
  <si>
    <t>Hide+Auto+Values+Formulas=Sheet10,Sheet6,Sheet7+FormulasOnly</t>
  </si>
  <si>
    <t>End Date:</t>
  </si>
  <si>
    <t>Start Date:</t>
  </si>
  <si>
    <t>About the report</t>
  </si>
  <si>
    <t>Version of Jet</t>
  </si>
  <si>
    <t>Copyrights</t>
  </si>
  <si>
    <t>Revise account numbers and descriptions in these rows</t>
  </si>
  <si>
    <t>hide</t>
  </si>
  <si>
    <t>NET INTEREST BEFORE EXTRAORDINARY ITEMS AND TAXES (EBT)</t>
  </si>
  <si>
    <t>Revise account numbers in these rows</t>
  </si>
  <si>
    <t>Stockholder Equity</t>
  </si>
  <si>
    <t>11000..15950</t>
  </si>
  <si>
    <t>25000..25400</t>
  </si>
  <si>
    <t>Gross Margin indicates how much of each sales dollar is available to pay expenses.</t>
  </si>
  <si>
    <t>Profit Margin indicates how profitable a firm's sales are.</t>
  </si>
  <si>
    <t>ROA  (Return on Assets) - annualized</t>
  </si>
  <si>
    <t>ROA gives an idea as to how efficient management is at using its assets to generate earnings.</t>
  </si>
  <si>
    <t>ROE (Return on Equity) - annualized</t>
  </si>
  <si>
    <t>ROE is a measure of returns earned on an owner's investment.</t>
  </si>
  <si>
    <t>ROCE (Return on Capital Employed) - annualized</t>
  </si>
  <si>
    <t>ROCE can be a more comprehensive profitability indicator than ROE because it gauges management's ability to generate earnings from a firm's total pool of capital.</t>
  </si>
  <si>
    <t>Ratio of Current Assets to Current Liabilities.  A high Current Ratio provides a margin of safety against uncertainty and random fluctuations</t>
  </si>
  <si>
    <t>Quick Ratio measures a firm's ability to meet its short-term obligations with its most liquid assets.  Quick ratio is more conservative than Current Ratio as it excludes inventory.</t>
  </si>
  <si>
    <t>Cash Conversion Cycle</t>
  </si>
  <si>
    <t># of days between dispersing cash and collecting cash.  It measures how long a firm will be deprived of cash if it increases its investment in resources in order to expand customer sales.</t>
  </si>
  <si>
    <t>Working Capital (Days)</t>
  </si>
  <si>
    <t># of days it will take a firm to convert its working capital into revenue.  The faster a firm does this the better.</t>
  </si>
  <si>
    <t>A high number is desired</t>
  </si>
  <si>
    <t xml:space="preserve"> </t>
  </si>
  <si>
    <t>A high number is desired.  This number will be highly dependent on the industry.</t>
  </si>
  <si>
    <t xml:space="preserve">A high number is desired. </t>
  </si>
  <si>
    <t>A lower number is desired</t>
  </si>
  <si>
    <t>A lower number is desired, but Working Capital should exceed Cash Conversion Cycle.</t>
  </si>
  <si>
    <t>DSO is a rough guide to the number of days a firm takes to collect payment after making a sale.</t>
  </si>
  <si>
    <t>A lower number is desired.  This number will be highly dependent on the industry.</t>
  </si>
  <si>
    <t>A lower number is desired.</t>
  </si>
  <si>
    <t>Solvency Indicators</t>
  </si>
  <si>
    <t>Interest cover</t>
  </si>
  <si>
    <t>A Ratio used to determine how easily a firm can pay interest on outstanding debt.</t>
  </si>
  <si>
    <t>Debt Ratio</t>
  </si>
  <si>
    <t>A Ratio used to determine how leveraged a firm is.</t>
  </si>
  <si>
    <t>Debt to Equity</t>
  </si>
  <si>
    <t>A Ratio used to determine how leveraged a firm is.  Also known as Gearing Ratio.</t>
  </si>
  <si>
    <t>Capitalization Ratio</t>
  </si>
  <si>
    <t>Capitalization ratio measures the debt component of a firm's capitalization.</t>
  </si>
  <si>
    <t>Operating Performance Ratios</t>
  </si>
  <si>
    <t>Working Capital Turnover</t>
  </si>
  <si>
    <t>Working Capital Turnover is a measure of a firm's ability to use its working capital to obtain revenue.</t>
  </si>
  <si>
    <t>Fixed Asset Turnover</t>
  </si>
  <si>
    <t xml:space="preserve">Fixed Asset Turnover indicates how successful a firm is in utilizing its assets in generation of sales ratio.  </t>
  </si>
  <si>
    <t>Total Asset Turnover</t>
  </si>
  <si>
    <t>Operating Expense Ratio</t>
  </si>
  <si>
    <t>Proportion of total revenues absorbed by operating expenses</t>
  </si>
  <si>
    <t>Depreciation Expense Ratio</t>
  </si>
  <si>
    <t>Proportion of total revenues absorbed by depreciation</t>
  </si>
  <si>
    <t>Interest Expense Ratio</t>
  </si>
  <si>
    <t>A lower number indicates higher solvency, but reduced leverage.</t>
  </si>
  <si>
    <t>A low number is desired</t>
  </si>
  <si>
    <t>41300</t>
  </si>
  <si>
    <t>=NL("First","G/L Account","Name","No.",D13)</t>
  </si>
  <si>
    <t>=-GL("Balance",$D13,$E$6,$E$7)</t>
  </si>
  <si>
    <t>=-GL("Budget",$D13,$E$6,$E$7,,,,,,,$E$5)</t>
  </si>
  <si>
    <t>41500</t>
  </si>
  <si>
    <t>=NL("First","G/L Account","Name","No.",D14)</t>
  </si>
  <si>
    <t>=-GL("Balance",$D14,$E$6,$E$7)</t>
  </si>
  <si>
    <t>=-GL("Budget",$D14,$E$6,$E$7,,,,,,,$E$5)</t>
  </si>
  <si>
    <t>42500</t>
  </si>
  <si>
    <t>=NL("First","G/L Account","Name","No.",D15)</t>
  </si>
  <si>
    <t>=-GL("Balance",$D15,$E$6,$E$7)</t>
  </si>
  <si>
    <t>=-GL("Budget",$D15,$E$6,$E$7,,,,,,,$E$5)</t>
  </si>
  <si>
    <t>43500</t>
  </si>
  <si>
    <t>=NL("First","G/L Account","Name","No.",D16)</t>
  </si>
  <si>
    <t>=-GL("Balance",$D16,$E$6,$E$7)</t>
  </si>
  <si>
    <t>=-GL("Budget",$D16,$E$6,$E$7,,,,,,,$E$5)</t>
  </si>
  <si>
    <t>44500</t>
  </si>
  <si>
    <t>=NL("First","G/L Account","Name","No.",D17)</t>
  </si>
  <si>
    <t>=-GL("Balance",$D17,$E$6,$E$7)</t>
  </si>
  <si>
    <t>=-GL("Budget",$D17,$E$6,$E$7,,,,,,,$E$5)</t>
  </si>
  <si>
    <t>45000</t>
  </si>
  <si>
    <t>=NL("First","G/L Account","Name","No.",D18)</t>
  </si>
  <si>
    <t>=-GL("Balance",$D18,$E$6,$E$7)</t>
  </si>
  <si>
    <t>=-GL("Budget",$D18,$E$6,$E$7,,,,,,,$E$5)</t>
  </si>
  <si>
    <t>45100</t>
  </si>
  <si>
    <t>=NL("First","G/L Account","Name","No.",D19)</t>
  </si>
  <si>
    <t>=-GL("Balance",$D19,$E$6,$E$7)</t>
  </si>
  <si>
    <t>=-GL("Budget",$D19,$E$6,$E$7,,,,,,,$E$5)</t>
  </si>
  <si>
    <t>=IF(F19=0,"-",IF(H19=0,"∞",(F19-H19)/H19))</t>
  </si>
  <si>
    <t>=F19-H19</t>
  </si>
  <si>
    <t>45200</t>
  </si>
  <si>
    <t>=NL("First","G/L Account","Name","No.",D20)</t>
  </si>
  <si>
    <t>=-GL("Balance",$D20,$E$6,$E$7)</t>
  </si>
  <si>
    <t>=-GL("Budget",$D20,$E$6,$E$7,,,,,,,$E$5)</t>
  </si>
  <si>
    <t>=IF(F20=0,"-",IF(H20=0,"∞",(F20-H20)/H20))</t>
  </si>
  <si>
    <t>=F20-H20</t>
  </si>
  <si>
    <t>=SUM(F13:F20)</t>
  </si>
  <si>
    <t>=SUM(H13:H20)</t>
  </si>
  <si>
    <t>52300</t>
  </si>
  <si>
    <t>=NL("First","G/L Account","Name","No.",D24)</t>
  </si>
  <si>
    <t>=-GL("Balance",$D24,$E$6,$E$7)</t>
  </si>
  <si>
    <t>=-GL("Budget",$D24,$E$6,$E$7,,,,,,,$E$5)</t>
  </si>
  <si>
    <t>52500</t>
  </si>
  <si>
    <t>=NL("First","G/L Account","Name","No.",D25)</t>
  </si>
  <si>
    <t>=-GL("Balance",$D25,$E$6,$E$7)</t>
  </si>
  <si>
    <t>=-GL("Budget",$D25,$E$6,$E$7,,,,,,,$E$5)</t>
  </si>
  <si>
    <t>53900</t>
  </si>
  <si>
    <t>=NL("First","G/L Account","Name","No.",D26)</t>
  </si>
  <si>
    <t>=-GL("Balance",$D26,$E$6,$E$7)</t>
  </si>
  <si>
    <t>=-GL("Budget",$D26,$E$6,$E$7,,,,,,,$E$5)</t>
  </si>
  <si>
    <t>54900</t>
  </si>
  <si>
    <t>=NL("First","G/L Account","Name","No.",D27)</t>
  </si>
  <si>
    <t>=-GL("Balance",$D27,$E$6,$E$7)</t>
  </si>
  <si>
    <t>=-GL("Budget",$D27,$E$6,$E$7,,,,,,,$E$5)</t>
  </si>
  <si>
    <t>=IF(F27=0,"-",IF(H27=0,"∞",(F27-H27)/H27))</t>
  </si>
  <si>
    <t>57900</t>
  </si>
  <si>
    <t>=NL("First","G/L Account","Name","No.",D28)</t>
  </si>
  <si>
    <t>=-GL("Balance",$D28,$E$6,$E$7)</t>
  </si>
  <si>
    <t>=-GL("Budget",$D28,$E$6,$E$7,,,,,,,$E$5)</t>
  </si>
  <si>
    <t>=SUM(F24:F28)</t>
  </si>
  <si>
    <t>=SUM(H24:H28)</t>
  </si>
  <si>
    <t>=IF(F29=0,"-",IF(H29=0,"∞",(F29-H29)/H29))</t>
  </si>
  <si>
    <t>=F29-H29</t>
  </si>
  <si>
    <t>=F30-H30</t>
  </si>
  <si>
    <t>=F21+F29</t>
  </si>
  <si>
    <t>=H21+H29</t>
  </si>
  <si>
    <t>=IF(F31=0,"-",IF(H31=0,"∞",(F31-H31)/H31))</t>
  </si>
  <si>
    <t>=F31-H31</t>
  </si>
  <si>
    <t>61400</t>
  </si>
  <si>
    <t>=NL("First","G/L Account","Name","No.",D35)</t>
  </si>
  <si>
    <t>=-GL("Balance",$D35,$E$6,$E$7)</t>
  </si>
  <si>
    <t>=-GL("Budget",$D35,$E$6,$E$7,,,,,,,$E$5)</t>
  </si>
  <si>
    <t>62950</t>
  </si>
  <si>
    <t>=NL("First","G/L Account","Name","No.",D36)</t>
  </si>
  <si>
    <t>=-GL("Balance",$D36,$E$6,$E$7)</t>
  </si>
  <si>
    <t>=-GL("Budget",$D36,$E$6,$E$7,,,,,,,$E$5)</t>
  </si>
  <si>
    <t>63500</t>
  </si>
  <si>
    <t>=NL("First","G/L Account","Name","No.",D37)</t>
  </si>
  <si>
    <t>=-GL("Balance",$D37,$E$6,$E$7)</t>
  </si>
  <si>
    <t>=-GL("Budget",$D37,$E$6,$E$7,,,,,,,$E$5)</t>
  </si>
  <si>
    <t>64400</t>
  </si>
  <si>
    <t>=NL("First","G/L Account","Name","No.",D38)</t>
  </si>
  <si>
    <t>=-GL("Balance",$D38,$E$6,$E$7)</t>
  </si>
  <si>
    <t>=-GL("Budget",$D38,$E$6,$E$7,,,,,,,$E$5)</t>
  </si>
  <si>
    <t>65400</t>
  </si>
  <si>
    <t>=NL("First","G/L Account","Name","No.",D39)</t>
  </si>
  <si>
    <t>=-GL("Balance",$D39,$E$6,$E$7)</t>
  </si>
  <si>
    <t>=-GL("Budget",$D39,$E$6,$E$7,,,,,,,$E$5)</t>
  </si>
  <si>
    <t>65900</t>
  </si>
  <si>
    <t>=NL("First","G/L Account","Name","No.",D40)</t>
  </si>
  <si>
    <t>=-GL("Balance",$D40,$E$6,$E$7)</t>
  </si>
  <si>
    <t>=-GL("Budget",$D40,$E$6,$E$7,,,,,,,$E$5)</t>
  </si>
  <si>
    <t>66400</t>
  </si>
  <si>
    <t>=NL("First","G/L Account","Name","No.",D41)</t>
  </si>
  <si>
    <t>=-GL("Balance",$D41,$E$6,$E$7)</t>
  </si>
  <si>
    <t>=-GL("Budget",$D41,$E$6,$E$7,,,,,,,$E$5)</t>
  </si>
  <si>
    <t>=IF(F41=0,"-",IF(H41=0,"∞",(F41-H41)/H41))</t>
  </si>
  <si>
    <t>=F41-H41</t>
  </si>
  <si>
    <t>67600</t>
  </si>
  <si>
    <t>=NL("First","G/L Account","Name","No.",D42)</t>
  </si>
  <si>
    <t>=-GL("Balance",$D42,$E$6,$E$7)</t>
  </si>
  <si>
    <t>=-GL("Budget",$D42,$E$6,$E$7,,,,,,,$E$5)</t>
  </si>
  <si>
    <t>=SUM(F35:F42)</t>
  </si>
  <si>
    <t>=SUM(H35:H42)</t>
  </si>
  <si>
    <t>=IF(F43=0,"-",IF(H43=0,"∞",(F43-H43)/H43))</t>
  </si>
  <si>
    <t>=F43-H43</t>
  </si>
  <si>
    <t>=F31+F43</t>
  </si>
  <si>
    <t>=H31+H43</t>
  </si>
  <si>
    <t>79950</t>
  </si>
  <si>
    <t>=NL("First","G/L Account","Name","No.",D47)</t>
  </si>
  <si>
    <t>=-GL("Balance",$D47,$E$6,$E$7)</t>
  </si>
  <si>
    <t>=-GL("Budget",$D47,$E$6,$E$7,,,,,,,$E$5)</t>
  </si>
  <si>
    <t>=IF(F47=0,"-",IF(H47=0,"∞",(F47-H47)/H47))</t>
  </si>
  <si>
    <t>=F47-H47</t>
  </si>
  <si>
    <t>80600</t>
  </si>
  <si>
    <t>=NL("First","G/L Account","Name","No.",D48)</t>
  </si>
  <si>
    <t>=-GL("Balance",$D48,$E$6,$E$7)</t>
  </si>
  <si>
    <t>=-GL("Budget",$D48,$E$6,$E$7,,,,,,,$E$5)</t>
  </si>
  <si>
    <t>81300</t>
  </si>
  <si>
    <t>=NL("First","G/L Account","Name","No.",D49)</t>
  </si>
  <si>
    <t>=-GL("Balance",$D49,$E$6,$E$7)</t>
  </si>
  <si>
    <t>=-GL("Budget",$D49,$E$6,$E$7,,,,,,,$E$5)</t>
  </si>
  <si>
    <t>=IF(F49=0,"-",IF(H49=0,"∞",(F49-H49)/H49))</t>
  </si>
  <si>
    <t>=F49-H49</t>
  </si>
  <si>
    <t>=SUM(F45:F49)</t>
  </si>
  <si>
    <t>=SUM(H45:H49)</t>
  </si>
  <si>
    <t>=IF(F51=0,"-",IF(H51=0,"∞",(F51-H51)/H51))</t>
  </si>
  <si>
    <t>84300</t>
  </si>
  <si>
    <t>=NL("First","G/L Account","Name","No.",D53)</t>
  </si>
  <si>
    <t>=-GL("Balance",$D53,$E$6,$E$7)</t>
  </si>
  <si>
    <t>=-GL("Budget",$D53,$E$6,$E$7,,,,,,,$E$5)</t>
  </si>
  <si>
    <t>=IF(F53=0,"-",IF(H53=0,"∞",(F53-H53)/H53))</t>
  </si>
  <si>
    <t>=F53-H53</t>
  </si>
  <si>
    <t>=NL("First","G/L Account","Name","No.",D54)</t>
  </si>
  <si>
    <t>=-GL("Balance",$D54,$E$6,$E$7)</t>
  </si>
  <si>
    <t>=-GL("Budget",$D54,$E$6,$E$7,,,,,,,$E$5)</t>
  </si>
  <si>
    <t>=IF(F54=0,"-",IF(H54=0,"∞",(F54-H54)/H54))</t>
  </si>
  <si>
    <t>=F54-H54</t>
  </si>
  <si>
    <t>=SUM(F51:F54)</t>
  </si>
  <si>
    <t>=#REF!+#REF!</t>
  </si>
  <si>
    <t>=SUM(H51:H54)</t>
  </si>
  <si>
    <t>=Options!D6</t>
  </si>
  <si>
    <t>11700</t>
  </si>
  <si>
    <t>=NL("First","G/L Account","Name","No.",D10)</t>
  </si>
  <si>
    <t>=GL("Balance",$D10,,$D$5,,,,,,,,)</t>
  </si>
  <si>
    <t>12300</t>
  </si>
  <si>
    <t>=NL("First","G/L Account","Name","No.",D11)</t>
  </si>
  <si>
    <t>=GL("Balance",$D11,,$D$5,,,,,,,,)</t>
  </si>
  <si>
    <t>13400</t>
  </si>
  <si>
    <t>=NL("First","G/L Account","Name","No.",D12)</t>
  </si>
  <si>
    <t>=GL("Balance",$D12,,$D$5,,,,,,,,)</t>
  </si>
  <si>
    <t>13540</t>
  </si>
  <si>
    <t>=GL("Balance",$D13,,$D$5,,,,,,,,)</t>
  </si>
  <si>
    <t>14500</t>
  </si>
  <si>
    <t>=GL("Balance",$D14,,$D$5,,,,,,,,)</t>
  </si>
  <si>
    <t>15300</t>
  </si>
  <si>
    <t>=GL("Balance",$D15,,$D$5,,,,,,,,)</t>
  </si>
  <si>
    <t>=SUM(H10:H15)</t>
  </si>
  <si>
    <t>16400</t>
  </si>
  <si>
    <t>=GL("Balance",$D19,,$D$5)</t>
  </si>
  <si>
    <t>17300</t>
  </si>
  <si>
    <t>=GL("Balance",$D20,,$D$5,,,,,,,,)</t>
  </si>
  <si>
    <t>18300</t>
  </si>
  <si>
    <t>=NL("First","G/L Account","Name","No.",D21)</t>
  </si>
  <si>
    <t>=GL("Balance",$D21,,$D$5,,,,,,,,)</t>
  </si>
  <si>
    <t>=SUM(H19:H21)</t>
  </si>
  <si>
    <t>=H22</t>
  </si>
  <si>
    <t>=H37</t>
  </si>
  <si>
    <t>=H43</t>
  </si>
  <si>
    <t>=H51</t>
  </si>
  <si>
    <t>=H22+H16</t>
  </si>
  <si>
    <t>=D8</t>
  </si>
  <si>
    <t>=D28</t>
  </si>
  <si>
    <t>22100</t>
  </si>
  <si>
    <t>=NL("First","G/L Account","Name","No.",D30)</t>
  </si>
  <si>
    <t>=-GL("Balance",$D30,,$D$5,,,,,,,,)</t>
  </si>
  <si>
    <t>22190</t>
  </si>
  <si>
    <t>=NL("First","G/L Account","Name","No.",D31)</t>
  </si>
  <si>
    <t>=-GL("Balance",$D31,,$D$5,,,,,,,,)</t>
  </si>
  <si>
    <t>22500</t>
  </si>
  <si>
    <t>=NL("First","G/L Account","Name","No.",D32)</t>
  </si>
  <si>
    <t>=-GL("Balance",$D32,,$D$5,,,,,,,,)</t>
  </si>
  <si>
    <t>22590</t>
  </si>
  <si>
    <t>=NL("First","G/L Account","Name","No.",D33)</t>
  </si>
  <si>
    <t>=-GL("Balance",$D33,,$D$5,,,,,,,,)</t>
  </si>
  <si>
    <t>22790</t>
  </si>
  <si>
    <t>=NL("First","G/L Account","Name","No.",D34)</t>
  </si>
  <si>
    <t>=-GL("Balance",$D34,,$D$5,,,,,,,,)</t>
  </si>
  <si>
    <t>23900</t>
  </si>
  <si>
    <t>=-GL("Balance",$D35,,$D$5,,,,,,,,)</t>
  </si>
  <si>
    <t>24400</t>
  </si>
  <si>
    <t>=-GL("Balance",$D36,,$D$5,,,,,,,,)</t>
  </si>
  <si>
    <t>=SUM(H30:H36)</t>
  </si>
  <si>
    <t>25100</t>
  </si>
  <si>
    <t>=-GL("Balance",$D40,,$D$5,,,,,,,,)</t>
  </si>
  <si>
    <t>25200</t>
  </si>
  <si>
    <t>=-GL("Balance",$D41,,$D$5,,,,,,,,)</t>
  </si>
  <si>
    <t>25300</t>
  </si>
  <si>
    <t>=-GL("Balance",$D42,,$D$5,,,,,,,,)</t>
  </si>
  <si>
    <t>=SUM(H40:H42)</t>
  </si>
  <si>
    <t>=H43+H37</t>
  </si>
  <si>
    <t>30100</t>
  </si>
  <si>
    <t>=-GL("Balance",$D48,,$D$5,,,,,,,,)</t>
  </si>
  <si>
    <t>30200</t>
  </si>
  <si>
    <t>=-GL("Balance",$D49,,$D$5,,,,,,,,)</t>
  </si>
  <si>
    <t>30400</t>
  </si>
  <si>
    <t>=NL("First","G/L Account","Name","No.",D50)</t>
  </si>
  <si>
    <t>=-GL("Balance",$D50,,$D$5,,,,,,,,)</t>
  </si>
  <si>
    <t>=H45+H51</t>
  </si>
  <si>
    <t>=GL("Balance",$C5,,Start_Date)</t>
  </si>
  <si>
    <t>=GL("Balance",$C5,,End_Date)</t>
  </si>
  <si>
    <t>=GL("Balance",$C6,,Start_Date)</t>
  </si>
  <si>
    <t>=GL("Balance",$C6,,End_Date)</t>
  </si>
  <si>
    <t>=(E6+F6)/2</t>
  </si>
  <si>
    <t>=GL("Balance",$C7,,Start_Date)</t>
  </si>
  <si>
    <t>=GL("Balance",$C7,,End_Date)</t>
  </si>
  <si>
    <t>=GL("Balance",$C8,,Start_Date)</t>
  </si>
  <si>
    <t>=GL("Balance",$C8,,End_Date)</t>
  </si>
  <si>
    <t>=GL("Balance",$C9,,Start_Date)</t>
  </si>
  <si>
    <t>=GL("Balance",$C9,,End_Date)</t>
  </si>
  <si>
    <t>=GL("Balance",$C10,,Start_Date)</t>
  </si>
  <si>
    <t>=GL("Balance",$C10,,End_Date)</t>
  </si>
  <si>
    <t>=GL("Balance",$C11,,Start_Date)</t>
  </si>
  <si>
    <t>=GL("Balance",$C11,,End_Date)</t>
  </si>
  <si>
    <t>=(E11+F11)/2</t>
  </si>
  <si>
    <t>=GL("Balance",$C12,,Start_Date)</t>
  </si>
  <si>
    <t>=GL("Balance",$C12,,End_Date)</t>
  </si>
  <si>
    <t>=GL("Balance",$C13,,Start_Date)</t>
  </si>
  <si>
    <t>=GL("Balance",$C13,,End_Date)</t>
  </si>
  <si>
    <t>=GL("Balance",$C14,,Start_Date)</t>
  </si>
  <si>
    <t>=GL("Balance",$C14,,End_Date)</t>
  </si>
  <si>
    <t>=-GL("Balance",$C16,Start_Date,End_Date)</t>
  </si>
  <si>
    <t>=-GL("Budget",$C16,Start_Date,End_Date,,,,,,,Budget_name)</t>
  </si>
  <si>
    <t>=IF((Days_in_Period=365),G16,365/(Days_in_Period)*G16)</t>
  </si>
  <si>
    <t>59950</t>
  </si>
  <si>
    <t>=-GL("Balance",$C17,Start_Date,End_Date)</t>
  </si>
  <si>
    <t>=-GL("Budget",$C17,Start_Date,End_Date,,,,,,,Budget_name)</t>
  </si>
  <si>
    <t>=IF((Days_in_Period=365),G17,365/(Days_in_Period)*G17)</t>
  </si>
  <si>
    <t>69950</t>
  </si>
  <si>
    <t>=-GL("Balance",$C18,Start_Date,End_Date)</t>
  </si>
  <si>
    <t>=-GL("Budget",$C18,Start_Date,End_Date,,,,,,,Budget_name)</t>
  </si>
  <si>
    <t>=IF((Days_in_Period=365),G18,365/(Days_in_Period)*G18)</t>
  </si>
  <si>
    <t>=-GL("Balance",$C19,Start_Date,End_Date)</t>
  </si>
  <si>
    <t>=-GL("Budget",$C19,Start_Date,End_Date,,,,,,,Budget_name)</t>
  </si>
  <si>
    <t>=IF((Days_in_Period=365),G19,365/(Days_in_Period)*G19)</t>
  </si>
  <si>
    <t>=-GL("Balance",$C20,Start_Date,End_Date)</t>
  </si>
  <si>
    <t>=-GL("Budget",$C20,Start_Date,End_Date,,,,,,,Budget_name)</t>
  </si>
  <si>
    <t>=IF((Days_in_Period=365),G20,365/(Days_in_Period)*G20)</t>
  </si>
  <si>
    <t>=-GL("Balance",$C21,Start_Date,End_Date)</t>
  </si>
  <si>
    <t>=-GL("Budget",$C21,Start_Date,End_Date,,,,,,,Budget_name)</t>
  </si>
  <si>
    <t>=IF((Days_in_Period=365),G21,365/(Days_in_Period)*G21)</t>
  </si>
  <si>
    <t>=-GL("Balance",$C22,Start_Date,End_Date)</t>
  </si>
  <si>
    <t>=-GL("Budget",$C22,Start_Date,End_Date,,,,,,,Budget_name)</t>
  </si>
  <si>
    <t>=IF((Days_in_Period=365),G22,365/(Days_in_Period)*G22)</t>
  </si>
  <si>
    <t>=-GL("Balance",$C23,Start_Date,End_Date)</t>
  </si>
  <si>
    <t>=-GL("Budget",$C23,Start_Date,End_Date,,,,,,,Budget_name)</t>
  </si>
  <si>
    <t>=IF((Days_in_Period=365),G23,365/(Days_in_Period)*G23)</t>
  </si>
  <si>
    <t>=-GL("Balance",$C24,Start_Date,End_Date)</t>
  </si>
  <si>
    <t>=-GL("Budget",$C24,Start_Date,End_Date,,,,,,,Budget_name)</t>
  </si>
  <si>
    <t>=IF((Days_in_Period=365),G24,365/(Days_in_Period)*G24)</t>
  </si>
  <si>
    <t>=E5+E6</t>
  </si>
  <si>
    <t>=F5+F6</t>
  </si>
  <si>
    <t>=(E27+F27)/2</t>
  </si>
  <si>
    <t>=-E7</t>
  </si>
  <si>
    <t>=-F7</t>
  </si>
  <si>
    <t>=(E28+F28)/2</t>
  </si>
  <si>
    <t>=-E8</t>
  </si>
  <si>
    <t>=-F8</t>
  </si>
  <si>
    <t>=(E29+F29)/2</t>
  </si>
  <si>
    <t>=-E7-E8</t>
  </si>
  <si>
    <t>=-F7-F8</t>
  </si>
  <si>
    <t>=-E9-E10</t>
  </si>
  <si>
    <t>=-F9-F10</t>
  </si>
  <si>
    <t>=(E31+F31)/2</t>
  </si>
  <si>
    <t>=-1*(E7+E8+E9)</t>
  </si>
  <si>
    <t>=-1*(F7+F8+F9)</t>
  </si>
  <si>
    <t>=-E14</t>
  </si>
  <si>
    <t>=-F14</t>
  </si>
  <si>
    <t>=G16+G17</t>
  </si>
  <si>
    <t>=H16+H17</t>
  </si>
  <si>
    <t>=G16+G17+G18</t>
  </si>
  <si>
    <t>=H16+H17+H18</t>
  </si>
  <si>
    <t>=G19+G20</t>
  </si>
  <si>
    <t>=H19+H20</t>
  </si>
  <si>
    <t>=IF((Days_in_Period=365),G37,365/(Days_in_Period)*G37)</t>
  </si>
  <si>
    <t>=SUM(G16:G21)</t>
  </si>
  <si>
    <t>=SUM(H16:H21)</t>
  </si>
  <si>
    <t>=IF((Days_in_Period=365),G38,365/(Days_in_Period)*G38)</t>
  </si>
  <si>
    <t>=SUM(G16:G22)</t>
  </si>
  <si>
    <t>=SUM(H16:H22)</t>
  </si>
  <si>
    <t>=IF((Days_in_Period=365),G39,365/(Days_in_Period)*G39)</t>
  </si>
  <si>
    <t>=SUM(G16:G23)</t>
  </si>
  <si>
    <t>=SUM(H16:H23)</t>
  </si>
  <si>
    <t>=IF((Days_in_Period=365),G40,365/(Days_in_Period)*G40)</t>
  </si>
  <si>
    <t>16000..18950</t>
  </si>
  <si>
    <t>22000..24500</t>
  </si>
  <si>
    <t>30000..30500</t>
  </si>
  <si>
    <t>Targets shown are calculated from the firm's General Ledger Budgets.  Additional targets can be entered and tracked in this report.</t>
  </si>
  <si>
    <t>1/1/2010..12/31/2010</t>
  </si>
  <si>
    <t>Measurement</t>
  </si>
  <si>
    <t>Meta Measurements</t>
  </si>
  <si>
    <t>Owners' Investment</t>
  </si>
  <si>
    <t>Funding Management</t>
  </si>
  <si>
    <t xml:space="preserve">Debt-to-Equity Ratio </t>
  </si>
  <si>
    <t>Asset Management</t>
  </si>
  <si>
    <t>Asset Turnover Ratio</t>
  </si>
  <si>
    <t>Return on Equity
(ROE)</t>
  </si>
  <si>
    <t>Value Added Management</t>
  </si>
  <si>
    <t>Profit Margin (before Tax)</t>
  </si>
  <si>
    <t>Return on Assets (ROA)</t>
  </si>
  <si>
    <t>Earnings before Tax (EBT)</t>
  </si>
  <si>
    <t>Earnings After Tax (EAT)</t>
  </si>
  <si>
    <t xml:space="preserve">This chart shows how an Owners' Investments are used to generate After Tax Earnings. </t>
  </si>
  <si>
    <t>Hide+Auto+Values+Formulas=Sheet42,Sheet43+FormulasOnly</t>
  </si>
  <si>
    <t>Hide+Auto+Values+Formulas=Sheet44,Sheet45+FormulasOnly</t>
  </si>
  <si>
    <t>Auto+Hide+Values+Hidesheet+Formulas=Sheet46,Sheet47+FormulasOnly</t>
  </si>
  <si>
    <t>Hide+Auto+Values+Formulas=Sheet4,Sheet42,Sheet43+FormulasOnly</t>
  </si>
  <si>
    <t>Hide+Auto+Values+Formulas=Sheet5,Sheet44,Sheet45+FormulasOnly</t>
  </si>
  <si>
    <t>Auto+Hide+Values+Hidesheet+Formulas=Sheet8,Sheet46,Sheet47+FormulasOnly</t>
  </si>
  <si>
    <t>Enter account ranges in gray highlighted cells</t>
  </si>
  <si>
    <t>Cells highlighted in this color are named ranges and used in other calculations.  Select CTRL + F3 for details.
Additional named ranges can be found in the"Options" and  "Scorecard" worksheets</t>
  </si>
  <si>
    <t>Hide+Auto+Values+Formulas=Sheet12,Sheet13+FormulasOnly</t>
  </si>
  <si>
    <t>Hide+Auto+Values+Formulas=Sheet14,Sheet15+FormulasOnly</t>
  </si>
  <si>
    <t>Auto+Hide+Values+Hidesheet+Formulas=Sheet16,Sheet17+FormulasOnly</t>
  </si>
  <si>
    <t>Hide+Auto+Values+Formulas=Sheet19,Sheet12,Sheet13+FormulasOnly</t>
  </si>
  <si>
    <t>Hide+Auto+Values+Formulas=Sheet20,Sheet14,Sheet15+FormulasOnly</t>
  </si>
  <si>
    <t>Auto+Hide+Values+Hidesheet+Formulas=Sheet21,Sheet16,Sheet17+FormulasOnly</t>
  </si>
  <si>
    <t>Lookup</t>
  </si>
  <si>
    <t>Hide+Auto+Values+Formulas=Sheet3,Sheet9+FormulasOnly</t>
  </si>
  <si>
    <t>Hide+Auto+Values+Formulas=Sheet11,Sheet16+FormulasOnly</t>
  </si>
  <si>
    <t>Auto+Hide+Values+Hidesheet+Formulas=Sheet18,Sheet22+FormulasOnly</t>
  </si>
  <si>
    <t>Hide+Auto+Values+Formulas=Sheet32,Sheet3,Sheet9+FormulasOnly</t>
  </si>
  <si>
    <t>Hide+Auto+Values+Formulas=Sheet33,Sheet11,Sheet16+FormulasOnly</t>
  </si>
  <si>
    <t>Auto+Hide+Values+Hidesheet+Formulas=Sheet34,Sheet18,Sheet22+FormulasOnly</t>
  </si>
  <si>
    <t>Hide+Auto+Values+Formulas=Sheet16,Sheet23+FormulasOnly</t>
  </si>
  <si>
    <t>Hide+Auto+Values+Formulas=Sheet24,Sheet25+FormulasOnly</t>
  </si>
  <si>
    <t>Auto+Hide+Values+Hidesheet+Formulas=Sheet26,Sheet27+FormulasOnly</t>
  </si>
  <si>
    <t>Hide+Auto+Values+Formulas=Sheet29,Sheet16,Sheet23+FormulasOnly</t>
  </si>
  <si>
    <t>Hide+Auto+Values+Formulas=Sheet30,Sheet24,Sheet25+FormulasOnly</t>
  </si>
  <si>
    <t>Auto+Hide+Values+Hidesheet+Formulas=Sheet31,Sheet26,Sheet27+FormulasOnly</t>
  </si>
  <si>
    <t>=NL("Lookup","95 G/L Budget Name","1 Name")</t>
  </si>
  <si>
    <t>=NP("DateFilter",D5,D6)</t>
  </si>
  <si>
    <t>=End_Date-Start_Date+1</t>
  </si>
  <si>
    <t>Hide+Auto+Values+Formulas=Sheet28,Sheet35+FormulasOnly</t>
  </si>
  <si>
    <t>Hide+Auto+Values+Formulas=Sheet36,Sheet37+FormulasOnly</t>
  </si>
  <si>
    <t>Auto+Hide+Values+Hidesheet+Formulas=Sheet38,Sheet39+FormulasOnly</t>
  </si>
  <si>
    <t>Hide+Auto+Values+Formulas=Sheet41,Sheet28,Sheet35+FormulasOnly</t>
  </si>
  <si>
    <t>Hide+Auto+Values+Formulas=Sheet48,Sheet36,Sheet37+FormulasOnly</t>
  </si>
  <si>
    <t>Auto+Hide+Values+Hidesheet+Formulas=Sheet49,Sheet38,Sheet39+FormulasOnly</t>
  </si>
  <si>
    <t xml:space="preserve">Report Readme </t>
  </si>
  <si>
    <t>Questions About This Report</t>
  </si>
  <si>
    <t>Click here to contact sample reports</t>
  </si>
  <si>
    <t>Services</t>
  </si>
  <si>
    <t>Training</t>
  </si>
  <si>
    <t>Sales</t>
  </si>
  <si>
    <t>Click here for downloads</t>
  </si>
  <si>
    <t>This report provides a general overview of the financial health of a company.  
Dates used in filtering must be formatted to the same format used in NAV.</t>
  </si>
  <si>
    <t>Tooltip</t>
  </si>
  <si>
    <t>Enter a date using the date format used in your NAV instance</t>
  </si>
  <si>
    <t>Hide+Auto+Values+Formulas=Sheet40,Sheet50+FormulasOnly</t>
  </si>
  <si>
    <t>Hide+Auto+Values+Formulas=Sheet51,Sheet52+FormulasOnly</t>
  </si>
  <si>
    <t>Auto+Hide+Values+Hidesheet+Formulas=Sheet53,Sheet54+FormulasOnly</t>
  </si>
  <si>
    <t>Hide+Auto+Values+Formulas=Sheet56,Sheet40,Sheet50+FormulasOnly</t>
  </si>
  <si>
    <t>Hide+Auto+Values+Formulas=Sheet57,Sheet51,Sheet52+FormulasOnly</t>
  </si>
  <si>
    <t>Auto+Hide+Values+Hidesheet+Formulas=Sheet58,Sheet53,Sheet54+FormulasOnly</t>
  </si>
  <si>
    <t>54000..54800</t>
  </si>
  <si>
    <t>44100</t>
  </si>
  <si>
    <t>44200</t>
  </si>
  <si>
    <t>44300</t>
  </si>
  <si>
    <t>45300</t>
  </si>
  <si>
    <t>=SUM(F13:F18)</t>
  </si>
  <si>
    <t>=SUM(H13:H18)</t>
  </si>
  <si>
    <t>52100</t>
  </si>
  <si>
    <t>=NL("First","G/L Account","Name","No.",D22)</t>
  </si>
  <si>
    <t>=-GL("Balance",$D22,$E$6,$E$7)</t>
  </si>
  <si>
    <t>=-GL("Budget",$D22,$E$6,$E$7,,,,,,,$E$5)</t>
  </si>
  <si>
    <t>=NL("First","G/L Account","Name","No.",D23)</t>
  </si>
  <si>
    <t>=-GL("Balance",$D23,$E$6,$E$7)</t>
  </si>
  <si>
    <t>=-GL("Budget",$D23,$E$6,$E$7,,,,,,,$E$5)</t>
  </si>
  <si>
    <t>52400</t>
  </si>
  <si>
    <t>=SUM(F22:F25)</t>
  </si>
  <si>
    <t>=SUM(H22:H25)</t>
  </si>
  <si>
    <t>=F19+F26</t>
  </si>
  <si>
    <t>=H19+H26</t>
  </si>
  <si>
    <t>=-GL("Balance",$D32,$E$6,$E$7)</t>
  </si>
  <si>
    <t>=-GL("Budget",$D32,$E$6,$E$7,,,,,,,$E$5)</t>
  </si>
  <si>
    <t>=-GL("Balance",$D33,$E$6,$E$7)</t>
  </si>
  <si>
    <t>=-GL("Budget",$D33,$E$6,$E$7,,,,,,,$E$5)</t>
  </si>
  <si>
    <t>=-GL("Balance",$D34,$E$6,$E$7)</t>
  </si>
  <si>
    <t>=-GL("Budget",$D34,$E$6,$E$7,,,,,,,$E$5)</t>
  </si>
  <si>
    <t>=SUM(F32:F38)</t>
  </si>
  <si>
    <t>=SUM(H32:H38)</t>
  </si>
  <si>
    <t>=F28+F39</t>
  </si>
  <si>
    <t>=H28+H39</t>
  </si>
  <si>
    <t>=NL("First","G/L Account","Name","No.",D43)</t>
  </si>
  <si>
    <t>=-GL("Balance",$D43,$E$6,$E$7)</t>
  </si>
  <si>
    <t>=-GL("Budget",$D43,$E$6,$E$7,,,,,,,$E$5)</t>
  </si>
  <si>
    <t>=NL("First","G/L Account","Name","No.",D44)</t>
  </si>
  <si>
    <t>=-GL("Balance",$D44,$E$6,$E$7)</t>
  </si>
  <si>
    <t>=-GL("Budget",$D44,$E$6,$E$7,,,,,,,$E$5)</t>
  </si>
  <si>
    <t>=NL("First","G/L Account","Name","No.",D45)</t>
  </si>
  <si>
    <t>=-GL("Balance",$D45,$E$6,$E$7)</t>
  </si>
  <si>
    <t>=-GL("Budget",$D45,$E$6,$E$7,,,,,,,$E$5)</t>
  </si>
  <si>
    <t>=SUM(F41:F45)</t>
  </si>
  <si>
    <t>=SUM(H41:H45)</t>
  </si>
  <si>
    <t>=SUM(F47:F49)</t>
  </si>
  <si>
    <t>=SUM(H47:H49)</t>
  </si>
  <si>
    <t>Getting Help</t>
  </si>
  <si>
    <t>Auto+Hide</t>
  </si>
  <si>
    <t>�</t>
  </si>
  <si>
    <t>="2018"</t>
  </si>
  <si>
    <t>="1/1/2018"</t>
  </si>
  <si>
    <t>="12/12/2018"</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</si>
  <si>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</si>
  <si>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</si>
  <si>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</si>
  <si>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</si>
  <si>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</si>
  <si>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</si>
  <si>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</si>
  <si>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</si>
  <si>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</si>
  <si>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</si>
  <si>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</si>
  <si>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</si>
  <si>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</si>
  <si>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</si>
  <si>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</si>
  <si>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The account numbers on the "Balance Sheet" and the "P&amp;L" and "Acct Ranges"  worksheets need to be customized to match the database chart of accounts before this report will operate correctly.
The Account numbers in this report correspond to the JetCorp Demo database.
Instructions for changing Account numbers are show in red on the "Acct Ranges", "Balance Sheet" and "P&amp;L" worksheets.  These can be seen when the report is in "Report" mode.</t>
  </si>
  <si>
    <t>Auto+Hide+Values+Hidesheet+Formulas=Sheet126,Sheet127+FormulasOnly</t>
  </si>
  <si>
    <t>Hide+Auto+Values+Formulas=Sheet128,Sheet129+FormulasOnly</t>
  </si>
  <si>
    <t>Hide+Auto+Values+Formulas=Sheet130,Sheet131+FormulasOnly</t>
  </si>
  <si>
    <t>Auto+Hide+Values+Hidesheet+Formulas=Sheet132,Sheet133+FormulasOnly</t>
  </si>
  <si>
    <t>Auto+Hide+Values+Hidesheet+Formulas=Sheet134,Sheet126,Sheet127</t>
  </si>
  <si>
    <t>Auto+Hide+Values+Hidesheet+Formulas=Sheet134,Sheet126,Sheet127+FormulasOnly</t>
  </si>
  <si>
    <t>Hide+Auto+Values+Formulas=Sheet135,Sheet128,Sheet129</t>
  </si>
  <si>
    <t>Hide+Auto+Values+Formulas=Sheet135,Sheet128,Sheet129+FormulasOnly</t>
  </si>
  <si>
    <t>Hide+Auto+Values+Formulas=Sheet136,Sheet130,Sheet131</t>
  </si>
  <si>
    <t>Hide+Auto+Values+Formulas=Sheet136,Sheet130,Sheet131+FormulasOnly</t>
  </si>
  <si>
    <t>Auto+Hide+Values+Hidesheet+Formulas=Sheet137,Sheet132,Sheet133</t>
  </si>
  <si>
    <t>Auto+Hide+Values+Hidesheet+Formulas=Sheet137,Sheet132,Sheet133+FormulasOnly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</si>
</sst>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quot;-&quot;"/>
    <numFmt numFmtId="165" formatCode="_(* #,##0_);_(* \(#,##0\);_(* &quot;-&quot;??_);_(@_)"/>
    <numFmt numFmtId="166" formatCode="0%;\(0%\);&quot;-&quot;"/>
    <numFmt numFmtId="167" formatCode="0.00,,&quot; M&quot;"/>
    <numFmt numFmtId="168" formatCode="0.0%"/>
    <numFmt numFmtId="169" formatCode="0&quot; Days&quot;"/>
    <numFmt numFmtId="170" formatCode="_(&quot;$&quot;* #,##0_);_(&quot;$&quot;* \(#,##0\);_(&quot;$&quot;* &quot;-&quot;??_);_(@_)"/>
    <numFmt numFmtId="171" formatCode="_(* #,##0.0_);_(* \(#,##0.0\);_(* &quot;-&quot;??_);_(@_)"/>
  </numFmts>
  <fonts count="44" x14ac:knownFonts="1">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10"/>
      <name val="Arial"/>
      <family val="2"/>
    </font>
    <font>
      <sz val="10"/>
      <name val="Arial"/>
      <family val="2"/>
    </font>
    <font>
      <b/>
      <sz val="14"/>
      <name val="Arial"/>
      <family val="2"/>
    </font>
    <font>
      <b/>
      <sz val="10"/>
      <name val="Arial"/>
      <family val="2"/>
    </font>
    <font>
      <b/>
      <sz val="12"/>
      <color theme="1"/>
      <name val="Arial"/>
      <family val="2"/>
    </font>
    <font>
      <b/>
      <sz val="12"/>
      <name val="Arial"/>
      <family val="2"/>
    </font>
    <font>
      <b/>
      <sz val="12"/>
      <color theme="0"/>
      <name val="Arial"/>
      <family val="2"/>
    </font>
    <font>
      <sz val="10"/>
      <color theme="0" tint="-0.249977111117893"/>
      <name val="Arial"/>
      <family val="2"/>
    </font>
    <font>
      <sz val="10"/>
      <color theme="1"/>
      <name val="Arial"/>
      <family val="2"/>
    </font>
    <font>
      <sz val="11"/>
      <color theme="1"/>
      <name val="Arial"/>
      <family val="2"/>
    </font>
    <font>
      <b/>
      <sz val="11"/>
      <color theme="4"/>
      <name val="Arial"/>
      <family val="2"/>
    </font>
    <font>
      <b/>
      <sz val="11"/>
      <name val="Arial"/>
      <family val="2"/>
    </font>
    <font>
      <b/>
      <sz val="11"/>
      <color theme="1"/>
      <name val="Arial"/>
      <family val="2"/>
    </font>
    <font>
      <u/>
      <sz val="8"/>
      <color indexed="12"/>
      <name val="Arial"/>
      <family val="2"/>
    </font>
    <font>
      <b/>
      <sz val="14"/>
      <color theme="3"/>
      <name val="Arial"/>
      <family val="2"/>
    </font>
    <font>
      <sz val="14"/>
      <name val="Arial"/>
      <family val="2"/>
    </font>
    <font>
      <sz val="12"/>
      <name val="Arial"/>
      <family val="2"/>
    </font>
    <font>
      <b/>
      <sz val="16"/>
      <name val="Arial"/>
      <family val="2"/>
    </font>
    <font>
      <b/>
      <sz val="12"/>
      <color theme="3"/>
      <name val="Arial"/>
      <family val="2"/>
    </font>
    <font>
      <i/>
      <sz val="12"/>
      <name val="Arial"/>
      <family val="2"/>
    </font>
    <font>
      <sz val="12"/>
      <color theme="0" tint="-0.249977111117893"/>
      <name val="Arial"/>
      <family val="2"/>
    </font>
    <font>
      <i/>
      <sz val="11"/>
      <color theme="0"/>
      <name val="Calibri"/>
      <family val="2"/>
      <scheme val="minor"/>
    </font>
    <font>
      <u/>
      <sz val="10"/>
      <color indexed="12"/>
      <name val="Arial"/>
      <family val="2"/>
    </font>
    <font>
      <sz val="10"/>
      <color theme="5" tint="-0.249977111117893"/>
      <name val="Arial"/>
      <family val="2"/>
    </font>
    <font>
      <sz val="11"/>
      <color rgb="FFFF0000"/>
      <name val="Calibri"/>
      <family val="2"/>
      <scheme val="minor"/>
    </font>
    <font>
      <i/>
      <sz val="12"/>
      <color theme="0" tint="-0.499984740745262"/>
      <name val="Arial"/>
      <family val="2"/>
    </font>
    <font>
      <sz val="10"/>
      <color rgb="FFFF0000"/>
      <name val="Arial"/>
      <family val="2"/>
    </font>
    <font>
      <i/>
      <sz val="14"/>
      <color theme="0" tint="-0.34998626667073579"/>
      <name val="Arial"/>
      <family val="2"/>
    </font>
    <font>
      <b/>
      <sz val="10"/>
      <color rgb="FF666C71"/>
      <name val="Arial"/>
      <family val="2"/>
    </font>
    <font>
      <b/>
      <sz val="14"/>
      <color rgb="FF666C71"/>
      <name val="Arial"/>
      <family val="2"/>
    </font>
    <font>
      <sz val="14"/>
      <color rgb="FF000000"/>
      <name val="Arial"/>
      <family val="2"/>
    </font>
    <font>
      <sz val="14"/>
      <color rgb="FFFFFFFF"/>
      <name val="Arial"/>
      <family val="2"/>
    </font>
    <font>
      <i/>
      <sz val="14"/>
      <color rgb="FFA6A6A6"/>
      <name val="Arial"/>
      <family val="2"/>
    </font>
    <font>
      <i/>
      <sz val="11"/>
      <color theme="1"/>
      <name val="Calibri"/>
      <family val="2"/>
      <scheme val="minor"/>
    </font>
    <font>
      <b/>
      <sz val="10"/>
      <name val="Segoe UI"/>
      <family val="2"/>
    </font>
    <font>
      <u/>
      <sz val="10"/>
      <color indexed="12"/>
      <name val="Segoe UI"/>
      <family val="2"/>
    </font>
    <font>
      <sz val="10"/>
      <color theme="1"/>
      <name val="Segoe UI"/>
      <family val="2"/>
    </font>
    <font>
      <b/>
      <sz val="20"/>
      <color rgb="FFDA4848"/>
      <name val="Segoe UI"/>
      <family val="2"/>
    </font>
    <font>
      <b/>
      <sz val="10"/>
      <color theme="1"/>
      <name val="Segoe UI"/>
      <family val="2"/>
    </font>
  </fonts>
  <fills count="27">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79998168889431442"/>
        <bgColor indexed="65"/>
      </patternFill>
    </fill>
    <fill>
      <patternFill patternType="solid">
        <fgColor rgb="FFFFFFFF"/>
        <bgColor rgb="FF000000"/>
      </patternFill>
    </fill>
    <fill>
      <patternFill patternType="solid">
        <fgColor rgb="FFD9D9D9"/>
        <bgColor rgb="FF000000"/>
      </patternFill>
    </fill>
    <fill>
      <patternFill patternType="solid">
        <fgColor rgb="FFF2F2F2"/>
        <bgColor rgb="FF000000"/>
      </patternFill>
    </fill>
    <fill>
      <patternFill patternType="solid">
        <fgColor rgb="FFBBE9FF"/>
        <bgColor rgb="FFFFFFFF"/>
      </patternFill>
    </fill>
    <fill>
      <patternFill patternType="solid">
        <fgColor rgb="FF0074AB"/>
        <bgColor rgb="FFFFFFFF"/>
      </patternFill>
    </fill>
  </fills>
  <borders count="40">
    <border>
      <left/>
      <right/>
      <top/>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s>
  <cellStyleXfs count="27">
    <xf numFmtId="0" fontId="0" fillId="0" borderId="0"/>
    <xf numFmtId="0" fontId="3" fillId="0" borderId="1" applyNumberFormat="0" applyFill="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0" borderId="0"/>
    <xf numFmtId="43" fontId="6" fillId="0" borderId="0" applyFont="0" applyFill="0" applyBorder="0" applyAlignment="0" applyProtection="0"/>
    <xf numFmtId="9" fontId="6" fillId="0" borderId="0" applyFont="0" applyFill="0" applyBorder="0" applyAlignment="0" applyProtection="0"/>
    <xf numFmtId="0" fontId="18" fillId="0" borderId="0" applyNumberFormat="0" applyFill="0" applyBorder="0" applyAlignment="0" applyProtection="0">
      <alignment vertical="top"/>
      <protection locked="0"/>
    </xf>
    <xf numFmtId="0" fontId="6" fillId="0" borderId="0"/>
    <xf numFmtId="0" fontId="6" fillId="0" borderId="0"/>
    <xf numFmtId="0" fontId="6" fillId="0" borderId="0"/>
    <xf numFmtId="43" fontId="2" fillId="0" borderId="0" applyFont="0" applyFill="0" applyBorder="0" applyAlignment="0" applyProtection="0"/>
    <xf numFmtId="44" fontId="2" fillId="0" borderId="0" applyFont="0" applyFill="0" applyBorder="0" applyAlignment="0" applyProtection="0"/>
    <xf numFmtId="0" fontId="27" fillId="0" borderId="0" applyNumberFormat="0" applyFill="0" applyBorder="0" applyAlignment="0" applyProtection="0">
      <alignment vertical="top"/>
      <protection locked="0"/>
    </xf>
    <xf numFmtId="9" fontId="2" fillId="0" borderId="0" applyFont="0" applyFill="0" applyBorder="0" applyAlignment="0" applyProtection="0"/>
    <xf numFmtId="0" fontId="2" fillId="21"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27" fillId="0" borderId="0" applyNumberFormat="0" applyFill="0" applyBorder="0" applyAlignment="0" applyProtection="0">
      <alignment vertical="top"/>
      <protection locked="0"/>
    </xf>
  </cellStyleXfs>
  <cellXfs count="280">
    <xf numFmtId="0" fontId="0" fillId="0" borderId="0" xfId="0"/>
    <xf numFmtId="14" fontId="0" fillId="0" borderId="0" xfId="0" applyNumberFormat="1"/>
    <xf numFmtId="0" fontId="6" fillId="8" borderId="0" xfId="8" applyFont="1" applyFill="1"/>
    <xf numFmtId="0" fontId="6" fillId="8" borderId="0" xfId="8" applyFont="1" applyFill="1" applyAlignment="1">
      <alignment horizontal="left" vertical="center"/>
    </xf>
    <xf numFmtId="0" fontId="6" fillId="0" borderId="0" xfId="8" applyFont="1" applyFill="1"/>
    <xf numFmtId="0" fontId="6" fillId="9" borderId="0" xfId="8" applyFont="1" applyFill="1" applyBorder="1"/>
    <xf numFmtId="0" fontId="6" fillId="9" borderId="0" xfId="8" applyFont="1" applyFill="1"/>
    <xf numFmtId="0" fontId="7" fillId="10" borderId="0" xfId="1" applyFont="1" applyFill="1" applyBorder="1"/>
    <xf numFmtId="0" fontId="9" fillId="0" borderId="0" xfId="2" applyFont="1" applyFill="1"/>
    <xf numFmtId="0" fontId="9" fillId="0" borderId="5" xfId="2" applyFont="1" applyFill="1" applyBorder="1" applyAlignment="1">
      <alignment horizontal="center"/>
    </xf>
    <xf numFmtId="0" fontId="9" fillId="0" borderId="6" xfId="2" applyFont="1" applyFill="1" applyBorder="1" applyAlignment="1">
      <alignment horizontal="center"/>
    </xf>
    <xf numFmtId="0" fontId="12" fillId="9" borderId="0" xfId="8" applyFont="1" applyFill="1" applyBorder="1"/>
    <xf numFmtId="0" fontId="13" fillId="0" borderId="0" xfId="8" applyFont="1" applyFill="1"/>
    <xf numFmtId="0" fontId="14" fillId="0" borderId="0" xfId="2" applyFont="1" applyFill="1" applyAlignment="1">
      <alignment horizontal="center"/>
    </xf>
    <xf numFmtId="0" fontId="15" fillId="0" borderId="0" xfId="5" applyFont="1" applyFill="1"/>
    <xf numFmtId="0" fontId="14" fillId="0" borderId="0" xfId="2" applyFont="1" applyFill="1"/>
    <xf numFmtId="0" fontId="14" fillId="0" borderId="7" xfId="2" applyFont="1" applyFill="1" applyBorder="1"/>
    <xf numFmtId="164" fontId="14" fillId="0" borderId="7" xfId="2" applyNumberFormat="1" applyFont="1" applyFill="1" applyBorder="1"/>
    <xf numFmtId="0" fontId="12" fillId="8" borderId="0" xfId="8" applyFont="1" applyFill="1" applyAlignment="1">
      <alignment horizontal="left" vertical="center"/>
    </xf>
    <xf numFmtId="0" fontId="14" fillId="0" borderId="0" xfId="8" applyFont="1" applyFill="1"/>
    <xf numFmtId="165" fontId="14" fillId="0" borderId="8" xfId="9" applyNumberFormat="1" applyFont="1" applyFill="1" applyBorder="1"/>
    <xf numFmtId="166" fontId="14" fillId="0" borderId="8" xfId="10" applyNumberFormat="1" applyFont="1" applyFill="1" applyBorder="1" applyAlignment="1">
      <alignment horizontal="right"/>
    </xf>
    <xf numFmtId="0" fontId="14" fillId="0" borderId="6" xfId="8" applyFont="1" applyFill="1" applyBorder="1"/>
    <xf numFmtId="165" fontId="14" fillId="0" borderId="9" xfId="9" applyNumberFormat="1" applyFont="1" applyFill="1" applyBorder="1"/>
    <xf numFmtId="166" fontId="14" fillId="0" borderId="9" xfId="10" applyNumberFormat="1" applyFont="1" applyFill="1" applyBorder="1" applyAlignment="1">
      <alignment horizontal="right"/>
    </xf>
    <xf numFmtId="0" fontId="14" fillId="0" borderId="6" xfId="2" applyFont="1" applyFill="1" applyBorder="1" applyAlignment="1">
      <alignment horizontal="center"/>
    </xf>
    <xf numFmtId="0" fontId="16" fillId="0" borderId="0" xfId="8" applyFont="1" applyFill="1"/>
    <xf numFmtId="165" fontId="17" fillId="0" borderId="8" xfId="9" applyNumberFormat="1" applyFont="1" applyFill="1" applyBorder="1"/>
    <xf numFmtId="0" fontId="17" fillId="0" borderId="0" xfId="8" applyFont="1" applyFill="1"/>
    <xf numFmtId="166" fontId="17" fillId="0" borderId="8" xfId="10" applyNumberFormat="1" applyFont="1" applyFill="1" applyBorder="1" applyAlignment="1">
      <alignment horizontal="right"/>
    </xf>
    <xf numFmtId="0" fontId="14" fillId="0" borderId="8" xfId="8" applyFont="1" applyFill="1" applyBorder="1"/>
    <xf numFmtId="166" fontId="14" fillId="0" borderId="8" xfId="8" applyNumberFormat="1" applyFont="1" applyFill="1" applyBorder="1"/>
    <xf numFmtId="165" fontId="14" fillId="0" borderId="8" xfId="2" applyNumberFormat="1" applyFont="1" applyFill="1" applyBorder="1"/>
    <xf numFmtId="0" fontId="14" fillId="0" borderId="8" xfId="2" applyFont="1" applyFill="1" applyBorder="1"/>
    <xf numFmtId="166" fontId="14" fillId="0" borderId="8" xfId="2" applyNumberFormat="1" applyFont="1" applyFill="1" applyBorder="1"/>
    <xf numFmtId="0" fontId="8" fillId="0" borderId="0" xfId="8" applyFont="1" applyFill="1"/>
    <xf numFmtId="0" fontId="15" fillId="0" borderId="10" xfId="5" applyFont="1" applyFill="1" applyBorder="1"/>
    <xf numFmtId="0" fontId="17" fillId="0" borderId="10" xfId="2" applyFont="1" applyFill="1" applyBorder="1"/>
    <xf numFmtId="165" fontId="17" fillId="0" borderId="11" xfId="2" applyNumberFormat="1" applyFont="1" applyFill="1" applyBorder="1"/>
    <xf numFmtId="166" fontId="17" fillId="0" borderId="11" xfId="2" applyNumberFormat="1" applyFont="1" applyFill="1" applyBorder="1" applyAlignment="1">
      <alignment horizontal="right"/>
    </xf>
    <xf numFmtId="0" fontId="17" fillId="0" borderId="10" xfId="2" applyFont="1" applyFill="1" applyBorder="1" applyAlignment="1">
      <alignment horizontal="center"/>
    </xf>
    <xf numFmtId="0" fontId="14" fillId="0" borderId="10" xfId="2" applyFont="1" applyFill="1" applyBorder="1" applyAlignment="1">
      <alignment horizontal="center"/>
    </xf>
    <xf numFmtId="0" fontId="17" fillId="0" borderId="0" xfId="2" applyFont="1" applyFill="1" applyBorder="1"/>
    <xf numFmtId="165" fontId="17" fillId="0" borderId="8" xfId="2" applyNumberFormat="1" applyFont="1" applyFill="1" applyBorder="1"/>
    <xf numFmtId="166" fontId="17" fillId="0" borderId="8" xfId="2" applyNumberFormat="1" applyFont="1" applyFill="1" applyBorder="1" applyAlignment="1">
      <alignment horizontal="right"/>
    </xf>
    <xf numFmtId="0" fontId="14" fillId="0" borderId="0" xfId="2" applyFont="1" applyFill="1" applyBorder="1" applyAlignment="1">
      <alignment horizontal="center"/>
    </xf>
    <xf numFmtId="0" fontId="17" fillId="0" borderId="0" xfId="2" applyFont="1" applyFill="1" applyAlignment="1">
      <alignment horizontal="center"/>
    </xf>
    <xf numFmtId="166" fontId="14" fillId="0" borderId="8" xfId="9" applyNumberFormat="1" applyFont="1" applyFill="1" applyBorder="1"/>
    <xf numFmtId="0" fontId="15" fillId="0" borderId="12" xfId="5" applyFont="1" applyFill="1" applyBorder="1"/>
    <xf numFmtId="0" fontId="17" fillId="0" borderId="12" xfId="2" applyFont="1" applyFill="1" applyBorder="1"/>
    <xf numFmtId="165" fontId="17" fillId="0" borderId="13" xfId="2" applyNumberFormat="1" applyFont="1" applyFill="1" applyBorder="1"/>
    <xf numFmtId="166" fontId="17" fillId="0" borderId="13" xfId="2" applyNumberFormat="1" applyFont="1" applyFill="1" applyBorder="1" applyAlignment="1">
      <alignment horizontal="right"/>
    </xf>
    <xf numFmtId="0" fontId="14" fillId="0" borderId="12" xfId="2" applyFont="1" applyFill="1" applyBorder="1" applyAlignment="1">
      <alignment horizontal="center"/>
    </xf>
    <xf numFmtId="0" fontId="19" fillId="10" borderId="0" xfId="1" applyFont="1" applyFill="1" applyBorder="1"/>
    <xf numFmtId="0" fontId="20" fillId="10" borderId="0" xfId="8" applyFont="1" applyFill="1"/>
    <xf numFmtId="0" fontId="17" fillId="0" borderId="0" xfId="5" applyFont="1" applyFill="1"/>
    <xf numFmtId="0" fontId="12" fillId="9" borderId="0" xfId="8" applyFont="1" applyFill="1"/>
    <xf numFmtId="0" fontId="17" fillId="0" borderId="0" xfId="7" applyFont="1" applyFill="1"/>
    <xf numFmtId="165" fontId="6" fillId="9" borderId="0" xfId="9" applyNumberFormat="1" applyFont="1" applyFill="1"/>
    <xf numFmtId="165" fontId="8" fillId="0" borderId="0" xfId="9" applyNumberFormat="1" applyFont="1" applyFill="1" applyBorder="1" applyAlignment="1">
      <alignment horizontal="right"/>
    </xf>
    <xf numFmtId="165" fontId="8" fillId="0" borderId="0" xfId="9" applyNumberFormat="1" applyFont="1" applyFill="1" applyBorder="1"/>
    <xf numFmtId="0" fontId="17" fillId="0" borderId="0" xfId="6" applyFont="1" applyFill="1"/>
    <xf numFmtId="165" fontId="6" fillId="9" borderId="0" xfId="8" applyNumberFormat="1" applyFont="1" applyFill="1"/>
    <xf numFmtId="165" fontId="16" fillId="0" borderId="10" xfId="9" applyNumberFormat="1" applyFont="1" applyFill="1" applyBorder="1"/>
    <xf numFmtId="0" fontId="17" fillId="0" borderId="0" xfId="4" applyFont="1" applyFill="1"/>
    <xf numFmtId="0" fontId="14" fillId="0" borderId="0" xfId="4" applyFont="1" applyFill="1"/>
    <xf numFmtId="0" fontId="16" fillId="0" borderId="0" xfId="3" applyFont="1" applyFill="1"/>
    <xf numFmtId="0" fontId="8" fillId="9" borderId="0" xfId="8" applyFont="1" applyFill="1"/>
    <xf numFmtId="0" fontId="17" fillId="0" borderId="0" xfId="3" applyFont="1" applyFill="1"/>
    <xf numFmtId="0" fontId="21" fillId="8" borderId="0" xfId="8" applyFont="1" applyFill="1"/>
    <xf numFmtId="0" fontId="21" fillId="0" borderId="0" xfId="8" applyFont="1"/>
    <xf numFmtId="0" fontId="22" fillId="10" borderId="0" xfId="1" applyFont="1" applyFill="1" applyBorder="1"/>
    <xf numFmtId="0" fontId="23" fillId="10" borderId="0" xfId="1" applyFont="1" applyFill="1" applyBorder="1"/>
    <xf numFmtId="0" fontId="21" fillId="10" borderId="0" xfId="8" applyFont="1" applyFill="1"/>
    <xf numFmtId="0" fontId="10" fillId="0" borderId="0" xfId="1" applyFont="1" applyFill="1" applyBorder="1"/>
    <xf numFmtId="0" fontId="21" fillId="0" borderId="0" xfId="8" applyFont="1" applyFill="1"/>
    <xf numFmtId="0" fontId="10" fillId="0" borderId="0" xfId="8" applyFont="1"/>
    <xf numFmtId="0" fontId="10" fillId="11" borderId="0" xfId="1" applyFont="1" applyFill="1" applyBorder="1"/>
    <xf numFmtId="0" fontId="21" fillId="11" borderId="0" xfId="1" applyFont="1" applyFill="1" applyBorder="1" applyAlignment="1">
      <alignment horizontal="right"/>
    </xf>
    <xf numFmtId="0" fontId="10" fillId="12" borderId="0" xfId="1" applyFont="1" applyFill="1" applyBorder="1"/>
    <xf numFmtId="165" fontId="21" fillId="0" borderId="0" xfId="8" applyNumberFormat="1" applyFont="1" applyFill="1"/>
    <xf numFmtId="0" fontId="10" fillId="15" borderId="0" xfId="1" applyFont="1" applyFill="1" applyBorder="1"/>
    <xf numFmtId="0" fontId="25" fillId="0" borderId="0" xfId="8" applyFont="1"/>
    <xf numFmtId="0" fontId="10" fillId="10" borderId="0" xfId="1" applyFont="1" applyFill="1" applyBorder="1"/>
    <xf numFmtId="0" fontId="10" fillId="18" borderId="0" xfId="1" applyFont="1" applyFill="1" applyBorder="1"/>
    <xf numFmtId="14" fontId="6" fillId="0" borderId="0" xfId="8" applyNumberFormat="1" applyFont="1" applyFill="1" applyAlignment="1">
      <alignment horizontal="left"/>
    </xf>
    <xf numFmtId="170" fontId="0" fillId="0" borderId="0" xfId="16" applyNumberFormat="1" applyFont="1"/>
    <xf numFmtId="0" fontId="0" fillId="0" borderId="16" xfId="0" applyBorder="1"/>
    <xf numFmtId="0" fontId="0" fillId="0" borderId="18" xfId="0" applyBorder="1"/>
    <xf numFmtId="0" fontId="0" fillId="0" borderId="5" xfId="0" applyBorder="1"/>
    <xf numFmtId="0" fontId="0" fillId="0" borderId="5" xfId="0" applyBorder="1" applyAlignment="1">
      <alignment horizontal="right"/>
    </xf>
    <xf numFmtId="0" fontId="1" fillId="0" borderId="5" xfId="0" applyFont="1" applyBorder="1"/>
    <xf numFmtId="170" fontId="0" fillId="0" borderId="5" xfId="16" applyNumberFormat="1" applyFont="1" applyBorder="1"/>
    <xf numFmtId="170" fontId="0" fillId="0" borderId="5" xfId="0" applyNumberFormat="1" applyBorder="1"/>
    <xf numFmtId="0" fontId="4" fillId="2" borderId="5" xfId="2" applyBorder="1"/>
    <xf numFmtId="0" fontId="4" fillId="2" borderId="14" xfId="2" applyBorder="1"/>
    <xf numFmtId="0" fontId="4" fillId="2" borderId="15" xfId="2" applyBorder="1" applyAlignment="1">
      <alignment horizontal="right"/>
    </xf>
    <xf numFmtId="0" fontId="1" fillId="0" borderId="9" xfId="0" applyFont="1" applyBorder="1"/>
    <xf numFmtId="170" fontId="0" fillId="0" borderId="9" xfId="0" applyNumberFormat="1" applyBorder="1"/>
    <xf numFmtId="170" fontId="0" fillId="0" borderId="9" xfId="16" applyNumberFormat="1" applyFont="1" applyBorder="1"/>
    <xf numFmtId="0" fontId="0" fillId="0" borderId="0" xfId="0" applyBorder="1"/>
    <xf numFmtId="170" fontId="0" fillId="0" borderId="0" xfId="16" applyNumberFormat="1" applyFont="1" applyBorder="1"/>
    <xf numFmtId="0" fontId="0" fillId="17" borderId="5" xfId="0" applyFill="1" applyBorder="1" applyAlignment="1">
      <alignment horizontal="right"/>
    </xf>
    <xf numFmtId="44" fontId="0" fillId="0" borderId="5" xfId="0" applyNumberFormat="1" applyBorder="1"/>
    <xf numFmtId="0" fontId="26" fillId="2" borderId="5" xfId="2" applyFont="1" applyBorder="1"/>
    <xf numFmtId="0" fontId="6" fillId="0" borderId="0" xfId="8" applyFont="1" applyFill="1" applyAlignment="1">
      <alignment horizontal="left"/>
    </xf>
    <xf numFmtId="0" fontId="0" fillId="0" borderId="0" xfId="0" quotePrefix="1"/>
    <xf numFmtId="0" fontId="8" fillId="0" borderId="0" xfId="8" applyFont="1" applyFill="1" applyAlignment="1">
      <alignment horizontal="center"/>
    </xf>
    <xf numFmtId="0" fontId="9" fillId="0" borderId="0" xfId="8" applyFont="1" applyFill="1" applyAlignment="1">
      <alignment horizontal="center"/>
    </xf>
    <xf numFmtId="0" fontId="6" fillId="8" borderId="0" xfId="8" applyFont="1" applyFill="1" applyBorder="1"/>
    <xf numFmtId="14" fontId="6" fillId="9" borderId="0" xfId="8" applyNumberFormat="1" applyFont="1" applyFill="1" applyBorder="1"/>
    <xf numFmtId="0" fontId="0" fillId="0" borderId="0" xfId="0" applyFill="1" applyBorder="1" applyAlignment="1">
      <alignment horizontal="right"/>
    </xf>
    <xf numFmtId="0" fontId="6" fillId="0" borderId="0" xfId="8" applyFont="1" applyFill="1" applyAlignment="1">
      <alignment horizontal="left" indent="2"/>
    </xf>
    <xf numFmtId="0" fontId="7" fillId="10" borderId="0" xfId="1" applyFont="1" applyFill="1" applyBorder="1" applyAlignment="1">
      <alignment horizontal="left" indent="2"/>
    </xf>
    <xf numFmtId="0" fontId="6" fillId="0" borderId="0" xfId="8" applyFont="1" applyFill="1" applyBorder="1" applyAlignment="1">
      <alignment horizontal="left" indent="2"/>
    </xf>
    <xf numFmtId="0" fontId="16" fillId="0" borderId="0" xfId="8" applyFont="1" applyFill="1" applyAlignment="1">
      <alignment horizontal="left" indent="2"/>
    </xf>
    <xf numFmtId="0" fontId="11" fillId="0" borderId="0" xfId="2" applyFont="1" applyFill="1" applyAlignment="1">
      <alignment horizontal="left" indent="2"/>
    </xf>
    <xf numFmtId="0" fontId="0" fillId="0" borderId="0" xfId="0" applyAlignment="1">
      <alignment horizontal="left" indent="2"/>
    </xf>
    <xf numFmtId="0" fontId="0" fillId="0" borderId="0" xfId="0" applyAlignment="1">
      <alignment horizontal="right" indent="2"/>
    </xf>
    <xf numFmtId="0" fontId="0" fillId="0" borderId="0" xfId="0" applyFill="1" applyBorder="1" applyAlignment="1">
      <alignment horizontal="right" indent="2"/>
    </xf>
    <xf numFmtId="0" fontId="6" fillId="0" borderId="0" xfId="8" applyFont="1" applyFill="1" applyAlignment="1">
      <alignment horizontal="right" indent="2"/>
    </xf>
    <xf numFmtId="0" fontId="8" fillId="0" borderId="0" xfId="8" applyFont="1" applyFill="1" applyAlignment="1">
      <alignment horizontal="right" indent="2"/>
    </xf>
    <xf numFmtId="0" fontId="15" fillId="0" borderId="10" xfId="5" applyFont="1" applyFill="1" applyBorder="1" applyAlignment="1">
      <alignment horizontal="right" indent="2"/>
    </xf>
    <xf numFmtId="0" fontId="15" fillId="0" borderId="0" xfId="5" applyFont="1" applyFill="1" applyBorder="1" applyAlignment="1">
      <alignment horizontal="right" indent="2"/>
    </xf>
    <xf numFmtId="0" fontId="15" fillId="0" borderId="12" xfId="5" applyFont="1" applyFill="1" applyBorder="1" applyAlignment="1">
      <alignment horizontal="right" indent="2"/>
    </xf>
    <xf numFmtId="0" fontId="6" fillId="9" borderId="0" xfId="8" applyFont="1" applyFill="1" applyAlignment="1">
      <alignment horizontal="left" vertical="top" wrapText="1"/>
    </xf>
    <xf numFmtId="0" fontId="28" fillId="9" borderId="0" xfId="8" applyFont="1" applyFill="1" applyAlignment="1">
      <alignment horizontal="left" vertical="top" wrapText="1"/>
    </xf>
    <xf numFmtId="43" fontId="17" fillId="0" borderId="0" xfId="7" applyNumberFormat="1" applyFont="1" applyFill="1"/>
    <xf numFmtId="43" fontId="6" fillId="0" borderId="0" xfId="9" applyNumberFormat="1" applyFont="1" applyFill="1"/>
    <xf numFmtId="43" fontId="8" fillId="0" borderId="3" xfId="9" applyNumberFormat="1" applyFont="1" applyFill="1" applyBorder="1"/>
    <xf numFmtId="43" fontId="17" fillId="0" borderId="0" xfId="6" applyNumberFormat="1" applyFont="1" applyFill="1"/>
    <xf numFmtId="43" fontId="16" fillId="0" borderId="10" xfId="9" applyNumberFormat="1" applyFont="1" applyFill="1" applyBorder="1"/>
    <xf numFmtId="43" fontId="14" fillId="0" borderId="0" xfId="4" applyNumberFormat="1" applyFont="1" applyFill="1"/>
    <xf numFmtId="43" fontId="16" fillId="0" borderId="0" xfId="3" applyNumberFormat="1" applyFont="1" applyFill="1"/>
    <xf numFmtId="43" fontId="17" fillId="0" borderId="0" xfId="3" applyNumberFormat="1" applyFont="1" applyFill="1"/>
    <xf numFmtId="43" fontId="6" fillId="9" borderId="0" xfId="8" applyNumberFormat="1" applyFont="1" applyFill="1"/>
    <xf numFmtId="0" fontId="5" fillId="0" borderId="0" xfId="8" applyFont="1" applyFill="1" applyAlignment="1">
      <alignment horizontal="left" indent="1"/>
    </xf>
    <xf numFmtId="165" fontId="16" fillId="0" borderId="6" xfId="9" applyNumberFormat="1" applyFont="1" applyFill="1" applyBorder="1"/>
    <xf numFmtId="43" fontId="16" fillId="0" borderId="6" xfId="9" applyNumberFormat="1" applyFont="1" applyFill="1" applyBorder="1"/>
    <xf numFmtId="0" fontId="29" fillId="0" borderId="0" xfId="0" applyFont="1"/>
    <xf numFmtId="0" fontId="5" fillId="0" borderId="0" xfId="8" applyFont="1" applyFill="1"/>
    <xf numFmtId="0" fontId="21" fillId="13" borderId="0" xfId="0" applyFont="1" applyFill="1"/>
    <xf numFmtId="0" fontId="24" fillId="13" borderId="5" xfId="0" applyFont="1" applyFill="1" applyBorder="1" applyAlignment="1">
      <alignment horizontal="left" vertical="top" wrapText="1" indent="2"/>
    </xf>
    <xf numFmtId="0" fontId="21" fillId="0" borderId="0" xfId="0" applyFont="1"/>
    <xf numFmtId="0" fontId="21" fillId="16" borderId="0" xfId="0" applyFont="1" applyFill="1"/>
    <xf numFmtId="0" fontId="24" fillId="16" borderId="5" xfId="0" applyFont="1" applyFill="1" applyBorder="1" applyAlignment="1">
      <alignment horizontal="left" vertical="top" wrapText="1" indent="2"/>
    </xf>
    <xf numFmtId="165" fontId="10" fillId="13" borderId="0" xfId="0" applyNumberFormat="1" applyFont="1" applyFill="1"/>
    <xf numFmtId="165" fontId="21" fillId="13" borderId="0" xfId="0" applyNumberFormat="1" applyFont="1" applyFill="1"/>
    <xf numFmtId="9" fontId="10" fillId="13" borderId="0" xfId="18" applyFont="1" applyFill="1"/>
    <xf numFmtId="9" fontId="21" fillId="13" borderId="0" xfId="18" applyFont="1" applyFill="1"/>
    <xf numFmtId="2" fontId="24" fillId="13" borderId="5" xfId="0" applyNumberFormat="1" applyFont="1" applyFill="1" applyBorder="1" applyAlignment="1">
      <alignment horizontal="right" vertical="top" indent="1"/>
    </xf>
    <xf numFmtId="2" fontId="24" fillId="13" borderId="0" xfId="0" applyNumberFormat="1" applyFont="1" applyFill="1" applyBorder="1" applyAlignment="1">
      <alignment horizontal="right" vertical="top" indent="1"/>
    </xf>
    <xf numFmtId="168" fontId="10" fillId="13" borderId="0" xfId="18" applyNumberFormat="1" applyFont="1" applyFill="1" applyAlignment="1">
      <alignment horizontal="right"/>
    </xf>
    <xf numFmtId="168" fontId="21" fillId="13" borderId="0" xfId="18" applyNumberFormat="1" applyFont="1" applyFill="1" applyAlignment="1">
      <alignment horizontal="right"/>
    </xf>
    <xf numFmtId="2" fontId="24" fillId="13" borderId="5" xfId="0" applyNumberFormat="1" applyFont="1" applyFill="1" applyBorder="1" applyAlignment="1">
      <alignment horizontal="right" vertical="top" wrapText="1" indent="1"/>
    </xf>
    <xf numFmtId="2" fontId="24" fillId="13" borderId="0" xfId="0" applyNumberFormat="1" applyFont="1" applyFill="1" applyBorder="1" applyAlignment="1">
      <alignment horizontal="right" vertical="top" wrapText="1" indent="1"/>
    </xf>
    <xf numFmtId="2" fontId="21" fillId="13" borderId="0" xfId="0" applyNumberFormat="1" applyFont="1" applyFill="1" applyAlignment="1">
      <alignment horizontal="right"/>
    </xf>
    <xf numFmtId="2" fontId="21" fillId="0" borderId="0" xfId="0" applyNumberFormat="1" applyFont="1" applyAlignment="1">
      <alignment horizontal="right"/>
    </xf>
    <xf numFmtId="2" fontId="10" fillId="16" borderId="0" xfId="0" applyNumberFormat="1" applyFont="1" applyFill="1"/>
    <xf numFmtId="2" fontId="24" fillId="16" borderId="5" xfId="0" applyNumberFormat="1" applyFont="1" applyFill="1" applyBorder="1" applyAlignment="1">
      <alignment horizontal="right" vertical="top" indent="1"/>
    </xf>
    <xf numFmtId="2" fontId="24" fillId="16" borderId="0" xfId="0" applyNumberFormat="1" applyFont="1" applyFill="1" applyBorder="1" applyAlignment="1">
      <alignment horizontal="right" vertical="top" indent="1"/>
    </xf>
    <xf numFmtId="169" fontId="10" fillId="16" borderId="0" xfId="0" applyNumberFormat="1" applyFont="1" applyFill="1" applyAlignment="1">
      <alignment horizontal="right"/>
    </xf>
    <xf numFmtId="2" fontId="24" fillId="16" borderId="5" xfId="0" applyNumberFormat="1" applyFont="1" applyFill="1" applyBorder="1" applyAlignment="1">
      <alignment horizontal="right" vertical="top" wrapText="1" indent="1"/>
    </xf>
    <xf numFmtId="0" fontId="21" fillId="14" borderId="0" xfId="0" applyFont="1" applyFill="1"/>
    <xf numFmtId="0" fontId="21" fillId="14" borderId="6" xfId="0" applyFont="1" applyFill="1" applyBorder="1"/>
    <xf numFmtId="0" fontId="21" fillId="14" borderId="0" xfId="0" applyFont="1" applyFill="1" applyBorder="1"/>
    <xf numFmtId="0" fontId="10" fillId="14" borderId="0" xfId="0" applyFont="1" applyFill="1" applyBorder="1"/>
    <xf numFmtId="0" fontId="21" fillId="8" borderId="0" xfId="0" applyFont="1" applyFill="1"/>
    <xf numFmtId="0" fontId="24" fillId="8" borderId="5" xfId="0" applyFont="1" applyFill="1" applyBorder="1" applyAlignment="1">
      <alignment horizontal="left" vertical="top" wrapText="1"/>
    </xf>
    <xf numFmtId="0" fontId="24" fillId="8" borderId="5" xfId="0" applyFont="1" applyFill="1" applyBorder="1" applyAlignment="1">
      <alignment horizontal="left" vertical="top" wrapText="1" indent="2"/>
    </xf>
    <xf numFmtId="0" fontId="21" fillId="19" borderId="0" xfId="0" applyFont="1" applyFill="1"/>
    <xf numFmtId="0" fontId="24" fillId="19" borderId="5" xfId="0" applyFont="1" applyFill="1" applyBorder="1" applyAlignment="1">
      <alignment horizontal="left" vertical="top" wrapText="1"/>
    </xf>
    <xf numFmtId="167" fontId="10" fillId="14" borderId="0" xfId="0" applyNumberFormat="1" applyFont="1" applyFill="1"/>
    <xf numFmtId="167" fontId="10" fillId="14" borderId="6" xfId="0" applyNumberFormat="1" applyFont="1" applyFill="1" applyBorder="1"/>
    <xf numFmtId="167" fontId="10" fillId="14" borderId="0" xfId="0" applyNumberFormat="1" applyFont="1" applyFill="1" applyBorder="1"/>
    <xf numFmtId="169" fontId="10" fillId="8" borderId="0" xfId="0" applyNumberFormat="1" applyFont="1" applyFill="1" applyAlignment="1">
      <alignment horizontal="right"/>
    </xf>
    <xf numFmtId="2" fontId="24" fillId="8" borderId="5" xfId="0" applyNumberFormat="1" applyFont="1" applyFill="1" applyBorder="1" applyAlignment="1">
      <alignment horizontal="right" vertical="top" wrapText="1"/>
    </xf>
    <xf numFmtId="2" fontId="24" fillId="8" borderId="5" xfId="0" applyNumberFormat="1" applyFont="1" applyFill="1" applyBorder="1" applyAlignment="1">
      <alignment horizontal="right" vertical="top" indent="1"/>
    </xf>
    <xf numFmtId="168" fontId="10" fillId="19" borderId="0" xfId="18" applyNumberFormat="1" applyFont="1" applyFill="1" applyAlignment="1">
      <alignment horizontal="right"/>
    </xf>
    <xf numFmtId="2" fontId="24" fillId="19" borderId="5" xfId="0" applyNumberFormat="1" applyFont="1" applyFill="1" applyBorder="1" applyAlignment="1">
      <alignment horizontal="right" vertical="top" wrapText="1"/>
    </xf>
    <xf numFmtId="0" fontId="24" fillId="14" borderId="5" xfId="0" applyFont="1" applyFill="1" applyBorder="1" applyAlignment="1">
      <alignment horizontal="left" vertical="top" wrapText="1" indent="2"/>
    </xf>
    <xf numFmtId="0" fontId="24" fillId="0" borderId="0" xfId="0" applyFont="1" applyBorder="1" applyAlignment="1">
      <alignment horizontal="left" vertical="top" wrapText="1" indent="2"/>
    </xf>
    <xf numFmtId="0" fontId="10" fillId="17" borderId="0" xfId="1" applyFont="1" applyFill="1" applyBorder="1"/>
    <xf numFmtId="0" fontId="21" fillId="20" borderId="0" xfId="0" applyFont="1" applyFill="1"/>
    <xf numFmtId="0" fontId="24" fillId="20" borderId="5" xfId="0" applyFont="1" applyFill="1" applyBorder="1" applyAlignment="1">
      <alignment horizontal="left" vertical="top" wrapText="1" indent="2"/>
    </xf>
    <xf numFmtId="171" fontId="10" fillId="14" borderId="0" xfId="15" applyNumberFormat="1" applyFont="1" applyFill="1"/>
    <xf numFmtId="2" fontId="24" fillId="14" borderId="5" xfId="0" applyNumberFormat="1" applyFont="1" applyFill="1" applyBorder="1" applyAlignment="1">
      <alignment horizontal="right" vertical="top" indent="1"/>
    </xf>
    <xf numFmtId="2" fontId="24" fillId="14" borderId="0" xfId="0" applyNumberFormat="1" applyFont="1" applyFill="1" applyBorder="1" applyAlignment="1">
      <alignment horizontal="right" vertical="top" indent="1"/>
    </xf>
    <xf numFmtId="9" fontId="10" fillId="14" borderId="0" xfId="18" applyFont="1" applyFill="1"/>
    <xf numFmtId="168" fontId="21" fillId="14" borderId="0" xfId="18" applyNumberFormat="1" applyFont="1" applyFill="1" applyAlignment="1">
      <alignment horizontal="right"/>
    </xf>
    <xf numFmtId="2" fontId="24" fillId="14" borderId="5" xfId="0" applyNumberFormat="1" applyFont="1" applyFill="1" applyBorder="1" applyAlignment="1">
      <alignment horizontal="right" vertical="top" wrapText="1" indent="1"/>
    </xf>
    <xf numFmtId="2" fontId="24" fillId="0" borderId="0" xfId="0" applyNumberFormat="1" applyFont="1" applyBorder="1" applyAlignment="1">
      <alignment horizontal="right" vertical="top" indent="1"/>
    </xf>
    <xf numFmtId="171" fontId="10" fillId="20" borderId="0" xfId="15" applyNumberFormat="1" applyFont="1" applyFill="1" applyAlignment="1">
      <alignment horizontal="right"/>
    </xf>
    <xf numFmtId="2" fontId="24" fillId="20" borderId="5" xfId="0" applyNumberFormat="1" applyFont="1" applyFill="1" applyBorder="1" applyAlignment="1">
      <alignment horizontal="right" vertical="top" indent="1"/>
    </xf>
    <xf numFmtId="2" fontId="24" fillId="20" borderId="0" xfId="0" applyNumberFormat="1" applyFont="1" applyFill="1" applyBorder="1" applyAlignment="1">
      <alignment horizontal="right" vertical="top" indent="1"/>
    </xf>
    <xf numFmtId="171" fontId="21" fillId="20" borderId="0" xfId="15" applyNumberFormat="1" applyFont="1" applyFill="1" applyAlignment="1">
      <alignment horizontal="right"/>
    </xf>
    <xf numFmtId="2" fontId="24" fillId="20" borderId="5" xfId="0" applyNumberFormat="1" applyFont="1" applyFill="1" applyBorder="1" applyAlignment="1">
      <alignment horizontal="right" vertical="top" wrapText="1" indent="1"/>
    </xf>
    <xf numFmtId="9" fontId="10" fillId="20" borderId="0" xfId="18" applyFont="1" applyFill="1" applyAlignment="1">
      <alignment horizontal="right"/>
    </xf>
    <xf numFmtId="9" fontId="21" fillId="20" borderId="0" xfId="18" applyFont="1" applyFill="1" applyAlignment="1">
      <alignment horizontal="right"/>
    </xf>
    <xf numFmtId="9" fontId="21" fillId="20" borderId="0" xfId="0" applyNumberFormat="1" applyFont="1" applyFill="1"/>
    <xf numFmtId="168" fontId="10" fillId="20" borderId="0" xfId="18" applyNumberFormat="1" applyFont="1" applyFill="1" applyAlignment="1">
      <alignment horizontal="right"/>
    </xf>
    <xf numFmtId="168" fontId="21" fillId="20" borderId="0" xfId="18" applyNumberFormat="1" applyFont="1" applyFill="1" applyAlignment="1">
      <alignment horizontal="right"/>
    </xf>
    <xf numFmtId="168" fontId="21" fillId="20" borderId="0" xfId="0" applyNumberFormat="1" applyFont="1" applyFill="1"/>
    <xf numFmtId="0" fontId="30" fillId="0" borderId="0" xfId="8" applyFont="1"/>
    <xf numFmtId="0" fontId="34" fillId="22" borderId="26" xfId="1" applyFont="1" applyFill="1" applyBorder="1"/>
    <xf numFmtId="0" fontId="5" fillId="22" borderId="0" xfId="0" applyFont="1" applyFill="1" applyBorder="1"/>
    <xf numFmtId="0" fontId="20" fillId="0" borderId="20" xfId="0" applyFont="1" applyFill="1" applyBorder="1"/>
    <xf numFmtId="0" fontId="5" fillId="0" borderId="0" xfId="0" applyFont="1" applyFill="1" applyBorder="1"/>
    <xf numFmtId="0" fontId="33" fillId="22" borderId="0" xfId="1" applyFont="1" applyFill="1" applyBorder="1"/>
    <xf numFmtId="0" fontId="5" fillId="0" borderId="0" xfId="0" applyFont="1" applyFill="1" applyBorder="1" applyAlignment="1">
      <alignment horizontal="center"/>
    </xf>
    <xf numFmtId="0" fontId="5" fillId="0" borderId="0" xfId="8"/>
    <xf numFmtId="0" fontId="7" fillId="0" borderId="0" xfId="1" applyFont="1" applyFill="1" applyBorder="1"/>
    <xf numFmtId="0" fontId="10" fillId="15" borderId="0" xfId="1" applyFont="1" applyFill="1" applyBorder="1"/>
    <xf numFmtId="0" fontId="20" fillId="0" borderId="0" xfId="8" applyFont="1"/>
    <xf numFmtId="0" fontId="20" fillId="0" borderId="0" xfId="8" applyFont="1" applyAlignment="1">
      <alignment horizontal="center"/>
    </xf>
    <xf numFmtId="0" fontId="32" fillId="0" borderId="0" xfId="8" applyFont="1" applyFill="1" applyBorder="1"/>
    <xf numFmtId="0" fontId="5" fillId="8" borderId="0" xfId="8" applyFont="1" applyFill="1"/>
    <xf numFmtId="0" fontId="20" fillId="0" borderId="26" xfId="0" applyFont="1" applyFill="1" applyBorder="1"/>
    <xf numFmtId="0" fontId="20" fillId="0" borderId="21" xfId="0" applyFont="1" applyFill="1" applyBorder="1"/>
    <xf numFmtId="0" fontId="20" fillId="0" borderId="22" xfId="0" applyFont="1" applyFill="1" applyBorder="1"/>
    <xf numFmtId="0" fontId="20" fillId="0" borderId="0" xfId="0" applyFont="1" applyFill="1" applyBorder="1"/>
    <xf numFmtId="0" fontId="20" fillId="0" borderId="0" xfId="0" applyFont="1" applyFill="1" applyBorder="1" applyAlignment="1">
      <alignment horizontal="center"/>
    </xf>
    <xf numFmtId="0" fontId="20" fillId="0" borderId="23" xfId="0" applyFont="1" applyFill="1" applyBorder="1"/>
    <xf numFmtId="0" fontId="20" fillId="23" borderId="38" xfId="0" applyFont="1" applyFill="1" applyBorder="1" applyAlignment="1">
      <alignment horizontal="center" vertical="center" wrapText="1"/>
    </xf>
    <xf numFmtId="168" fontId="20" fillId="24" borderId="39" xfId="25" applyNumberFormat="1" applyFont="1" applyFill="1" applyBorder="1" applyAlignment="1">
      <alignment horizontal="center" vertical="center"/>
    </xf>
    <xf numFmtId="0" fontId="7" fillId="0" borderId="0" xfId="0" applyFont="1" applyFill="1" applyBorder="1"/>
    <xf numFmtId="0" fontId="35" fillId="25" borderId="2" xfId="19" applyFont="1" applyFill="1" applyBorder="1" applyAlignment="1">
      <alignment horizontal="left"/>
    </xf>
    <xf numFmtId="165" fontId="20" fillId="0" borderId="4" xfId="21" applyNumberFormat="1" applyFont="1" applyFill="1" applyBorder="1" applyAlignment="1">
      <alignment horizontal="center"/>
    </xf>
    <xf numFmtId="0" fontId="7" fillId="0" borderId="0" xfId="0" applyFont="1" applyFill="1" applyBorder="1" applyAlignment="1">
      <alignment horizontal="center" wrapText="1"/>
    </xf>
    <xf numFmtId="0" fontId="20" fillId="0" borderId="22" xfId="0" applyFont="1" applyFill="1" applyBorder="1" applyAlignment="1">
      <alignment vertical="center"/>
    </xf>
    <xf numFmtId="0" fontId="20" fillId="0" borderId="0" xfId="0" applyFont="1" applyFill="1" applyBorder="1" applyAlignment="1">
      <alignment vertical="center"/>
    </xf>
    <xf numFmtId="0" fontId="20" fillId="0" borderId="23" xfId="0" applyFont="1" applyFill="1" applyBorder="1" applyAlignment="1">
      <alignment vertical="center"/>
    </xf>
    <xf numFmtId="0" fontId="20" fillId="0" borderId="0" xfId="0" applyFont="1" applyFill="1" applyBorder="1" applyAlignment="1">
      <alignment horizontal="center" wrapText="1"/>
    </xf>
    <xf numFmtId="0" fontId="20" fillId="0" borderId="0" xfId="0" applyFont="1" applyFill="1" applyBorder="1" applyAlignment="1">
      <alignment horizontal="left"/>
    </xf>
    <xf numFmtId="168" fontId="20" fillId="24" borderId="28" xfId="25" applyNumberFormat="1" applyFont="1" applyFill="1" applyBorder="1" applyAlignment="1">
      <alignment horizontal="center" vertical="center"/>
    </xf>
    <xf numFmtId="0" fontId="20" fillId="0" borderId="24" xfId="0" applyFont="1" applyFill="1" applyBorder="1"/>
    <xf numFmtId="0" fontId="20" fillId="0" borderId="27" xfId="0" applyFont="1" applyFill="1" applyBorder="1"/>
    <xf numFmtId="0" fontId="20" fillId="0" borderId="27" xfId="0" applyFont="1" applyFill="1" applyBorder="1" applyAlignment="1">
      <alignment horizontal="center"/>
    </xf>
    <xf numFmtId="0" fontId="20" fillId="0" borderId="25" xfId="0" applyFont="1" applyFill="1" applyBorder="1"/>
    <xf numFmtId="0" fontId="37" fillId="0" borderId="0" xfId="0" applyFont="1" applyFill="1" applyBorder="1"/>
    <xf numFmtId="170" fontId="0" fillId="19" borderId="5" xfId="16" applyNumberFormat="1" applyFont="1" applyFill="1" applyBorder="1"/>
    <xf numFmtId="170" fontId="0" fillId="19" borderId="9" xfId="0" applyNumberFormat="1" applyFill="1" applyBorder="1"/>
    <xf numFmtId="170" fontId="0" fillId="19" borderId="5" xfId="0" applyNumberFormat="1" applyFill="1" applyBorder="1"/>
    <xf numFmtId="44" fontId="0" fillId="19" borderId="5" xfId="0" applyNumberFormat="1" applyFill="1" applyBorder="1"/>
    <xf numFmtId="0" fontId="0" fillId="19" borderId="0" xfId="0" applyFill="1"/>
    <xf numFmtId="0" fontId="0" fillId="19" borderId="17" xfId="0" applyFill="1" applyBorder="1" applyAlignment="1">
      <alignment horizontal="right"/>
    </xf>
    <xf numFmtId="14" fontId="0" fillId="19" borderId="17" xfId="0" applyNumberFormat="1" applyFill="1" applyBorder="1"/>
    <xf numFmtId="14" fontId="0" fillId="19" borderId="19" xfId="0" applyNumberFormat="1" applyFill="1" applyBorder="1"/>
    <xf numFmtId="165" fontId="0" fillId="19" borderId="0" xfId="15" applyNumberFormat="1" applyFont="1" applyFill="1"/>
    <xf numFmtId="0" fontId="0" fillId="0" borderId="0" xfId="0" quotePrefix="1" applyAlignment="1">
      <alignment wrapText="1"/>
    </xf>
    <xf numFmtId="0" fontId="38" fillId="19" borderId="0" xfId="0" applyFont="1" applyFill="1" applyAlignment="1">
      <alignment horizontal="center" wrapText="1"/>
    </xf>
    <xf numFmtId="0" fontId="38" fillId="19" borderId="0" xfId="0" applyFont="1" applyFill="1" applyAlignment="1">
      <alignment horizontal="center" wrapText="1"/>
    </xf>
    <xf numFmtId="0" fontId="7" fillId="23" borderId="33" xfId="0" applyFont="1" applyFill="1" applyBorder="1" applyAlignment="1">
      <alignment horizontal="center" vertical="center" wrapText="1"/>
    </xf>
    <xf numFmtId="0" fontId="7" fillId="23" borderId="34" xfId="0" applyFont="1" applyFill="1" applyBorder="1" applyAlignment="1">
      <alignment horizontal="center" vertical="center" wrapText="1"/>
    </xf>
    <xf numFmtId="0" fontId="36" fillId="26" borderId="0" xfId="2" applyFont="1" applyFill="1" applyBorder="1" applyAlignment="1">
      <alignment horizontal="right" vertical="center"/>
    </xf>
    <xf numFmtId="0" fontId="20" fillId="23" borderId="31" xfId="0" applyFont="1" applyFill="1" applyBorder="1" applyAlignment="1">
      <alignment horizontal="center" vertical="center" wrapText="1"/>
    </xf>
    <xf numFmtId="0" fontId="20" fillId="23" borderId="32" xfId="0" applyFont="1" applyFill="1" applyBorder="1" applyAlignment="1">
      <alignment horizontal="center" vertical="center" wrapText="1"/>
    </xf>
    <xf numFmtId="168" fontId="20" fillId="24" borderId="21" xfId="25" applyNumberFormat="1" applyFont="1" applyFill="1" applyBorder="1" applyAlignment="1">
      <alignment horizontal="center" vertical="center"/>
    </xf>
    <xf numFmtId="168" fontId="20" fillId="24" borderId="25" xfId="25" applyNumberFormat="1" applyFont="1" applyFill="1" applyBorder="1" applyAlignment="1">
      <alignment horizontal="center" vertical="center"/>
    </xf>
    <xf numFmtId="0" fontId="7" fillId="23" borderId="35" xfId="0"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37" xfId="0" applyFont="1" applyFill="1" applyBorder="1" applyAlignment="1">
      <alignment horizontal="center" vertical="center" wrapText="1"/>
    </xf>
    <xf numFmtId="0" fontId="20" fillId="23" borderId="20" xfId="0" applyFont="1" applyFill="1" applyBorder="1" applyAlignment="1">
      <alignment horizontal="center" vertical="center" wrapText="1"/>
    </xf>
    <xf numFmtId="0" fontId="20" fillId="23" borderId="24" xfId="0" applyFont="1" applyFill="1" applyBorder="1" applyAlignment="1">
      <alignment horizontal="center" vertical="center" wrapText="1"/>
    </xf>
    <xf numFmtId="168" fontId="20" fillId="24" borderId="29" xfId="25" applyNumberFormat="1" applyFont="1" applyFill="1" applyBorder="1" applyAlignment="1">
      <alignment horizontal="center" vertical="center"/>
    </xf>
    <xf numFmtId="168" fontId="20" fillId="24" borderId="30" xfId="25" applyNumberFormat="1" applyFont="1" applyFill="1" applyBorder="1" applyAlignment="1">
      <alignment horizontal="center" vertical="center"/>
    </xf>
    <xf numFmtId="0" fontId="8" fillId="0" borderId="0" xfId="8" applyFont="1" applyFill="1" applyAlignment="1">
      <alignment horizontal="center"/>
    </xf>
    <xf numFmtId="0" fontId="9" fillId="0" borderId="0" xfId="8" applyFont="1" applyFill="1" applyAlignment="1">
      <alignment horizontal="center"/>
    </xf>
    <xf numFmtId="0" fontId="9" fillId="0" borderId="2" xfId="2" applyFont="1" applyFill="1" applyBorder="1" applyAlignment="1">
      <alignment horizontal="center"/>
    </xf>
    <xf numFmtId="0" fontId="9" fillId="0" borderId="3" xfId="2" applyFont="1" applyFill="1" applyBorder="1" applyAlignment="1">
      <alignment horizontal="center"/>
    </xf>
    <xf numFmtId="0" fontId="9" fillId="0" borderId="4" xfId="2" applyFont="1" applyFill="1" applyBorder="1" applyAlignment="1">
      <alignment horizontal="center"/>
    </xf>
    <xf numFmtId="0" fontId="31" fillId="9" borderId="0" xfId="8" applyFont="1" applyFill="1" applyAlignment="1">
      <alignment horizontal="left" vertical="top" wrapText="1"/>
    </xf>
    <xf numFmtId="14" fontId="7" fillId="0" borderId="0" xfId="1" applyNumberFormat="1" applyFont="1" applyFill="1" applyBorder="1" applyAlignment="1">
      <alignment horizontal="left" wrapText="1"/>
    </xf>
    <xf numFmtId="0" fontId="41" fillId="0" borderId="0" xfId="0" applyFont="1"/>
    <xf numFmtId="0" fontId="41" fillId="0" borderId="0" xfId="0" applyFont="1" applyAlignment="1">
      <alignment vertical="top"/>
    </xf>
    <xf numFmtId="0" fontId="41" fillId="0" borderId="0" xfId="0" applyFont="1" applyAlignment="1">
      <alignment vertical="top" wrapText="1"/>
    </xf>
    <xf numFmtId="0" fontId="42" fillId="0" borderId="0" xfId="0" applyFont="1" applyAlignment="1">
      <alignment vertical="top"/>
    </xf>
    <xf numFmtId="0" fontId="43" fillId="0" borderId="0" xfId="0" applyFont="1" applyAlignment="1">
      <alignment vertical="top"/>
    </xf>
    <xf numFmtId="0" fontId="40" fillId="0" borderId="0" xfId="17" applyFont="1" applyAlignment="1" applyProtection="1">
      <alignment vertical="top"/>
    </xf>
    <xf numFmtId="0" fontId="39" fillId="16" borderId="5" xfId="24" applyFont="1" applyFill="1" applyBorder="1" applyAlignment="1">
      <alignment vertical="top" wrapText="1"/>
    </xf>
  </cellXfs>
  <cellStyles count="27">
    <cellStyle name="20% - Accent1" xfId="19" builtinId="30"/>
    <cellStyle name="20% - Accent3" xfId="6" builtinId="38"/>
    <cellStyle name="40% - Accent3" xfId="7" builtinId="39"/>
    <cellStyle name="60% - Accent1" xfId="3" builtinId="32"/>
    <cellStyle name="Accent1" xfId="2" builtinId="29"/>
    <cellStyle name="Accent2" xfId="4" builtinId="33"/>
    <cellStyle name="Accent3" xfId="5" builtinId="37"/>
    <cellStyle name="Comma" xfId="15" builtinId="3"/>
    <cellStyle name="Comma 2" xfId="9"/>
    <cellStyle name="Comma 2 2" xfId="21"/>
    <cellStyle name="Comma 3" xfId="20"/>
    <cellStyle name="Currency" xfId="16" builtinId="4"/>
    <cellStyle name="Heading 1" xfId="1" builtinId="16"/>
    <cellStyle name="Hyperlink" xfId="17" builtinId="8"/>
    <cellStyle name="Hyperlink 2" xfId="11"/>
    <cellStyle name="Hyperlink 3" xfId="26"/>
    <cellStyle name="Normal" xfId="0" builtinId="0"/>
    <cellStyle name="Normal 2" xfId="8"/>
    <cellStyle name="Normal 2 2" xfId="12"/>
    <cellStyle name="Normal 2 2 2" xfId="22"/>
    <cellStyle name="Normal 2 3" xfId="13"/>
    <cellStyle name="Normal 2 3 2" xfId="23"/>
    <cellStyle name="Normal 2 4" xfId="14"/>
    <cellStyle name="Normal 2 4 2" xfId="24"/>
    <cellStyle name="Percent" xfId="18" builtinId="5"/>
    <cellStyle name="Percent 2" xfId="10"/>
    <cellStyle name="Percent 3"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Balance Sheet
    </a:t>
            </a:r>
            <a:r>
              <a:rPr lang="en-US" sz="1400"/>
              <a:t>Assets 		     Liabilities</a:t>
            </a:r>
          </a:p>
        </c:rich>
      </c:tx>
      <c:layout>
        <c:manualLayout>
          <c:xMode val="edge"/>
          <c:yMode val="edge"/>
          <c:x val="0.28750917447536251"/>
          <c:y val="2.1081976403435117E-2"/>
        </c:manualLayout>
      </c:layout>
      <c:overlay val="0"/>
    </c:title>
    <c:autoTitleDeleted val="0"/>
    <c:view3D>
      <c:rotX val="0"/>
      <c:rotY val="0"/>
      <c:rAngAx val="0"/>
      <c:perspective val="0"/>
    </c:view3D>
    <c:floor>
      <c:thickness val="0"/>
    </c:floor>
    <c:sideWall>
      <c:thickness val="0"/>
    </c:sideWall>
    <c:backWall>
      <c:thickness val="0"/>
    </c:backWall>
    <c:plotArea>
      <c:layout>
        <c:manualLayout>
          <c:layoutTarget val="inner"/>
          <c:xMode val="edge"/>
          <c:yMode val="edge"/>
          <c:x val="0.17848862642169741"/>
          <c:y val="0.20360854893138358"/>
          <c:w val="0.79095581802274761"/>
          <c:h val="0.71056784568595421"/>
        </c:manualLayout>
      </c:layout>
      <c:bar3DChart>
        <c:barDir val="col"/>
        <c:grouping val="stacked"/>
        <c:varyColors val="0"/>
        <c:ser>
          <c:idx val="0"/>
          <c:order val="0"/>
          <c:spPr>
            <a:solidFill>
              <a:prstClr val="white">
                <a:lumMod val="65000"/>
              </a:prstClr>
            </a:solidFill>
          </c:spPr>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1372-45EB-8ECA-E065C87F6EFA}"/>
              </c:ext>
            </c:extLst>
          </c:dPt>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3-1372-45EB-8ECA-E065C87F6EFA}"/>
              </c:ext>
            </c:extLst>
          </c:dPt>
          <c:dLbls>
            <c:dLbl>
              <c:idx val="0"/>
              <c:layout>
                <c:manualLayout>
                  <c:x val="5.1880674448767832E-3"/>
                  <c:y val="0"/>
                </c:manualLayout>
              </c:layout>
              <c:tx>
                <c:rich>
                  <a:bodyPr/>
                  <a:lstStyle/>
                  <a:p>
                    <a:r>
                      <a:rPr lang="en-US" b="1"/>
                      <a:t>Current Assets</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372-45EB-8ECA-E065C87F6EFA}"/>
                </c:ext>
              </c:extLst>
            </c:dLbl>
            <c:dLbl>
              <c:idx val="1"/>
              <c:layout/>
              <c:tx>
                <c:rich>
                  <a:bodyPr/>
                  <a:lstStyle/>
                  <a:p>
                    <a:r>
                      <a:rPr lang="en-US" b="1"/>
                      <a:t>Current</a:t>
                    </a:r>
                    <a:r>
                      <a:rPr lang="en-US" b="1" baseline="0"/>
                      <a:t> Liability</a:t>
                    </a:r>
                    <a:endParaRPr lang="en-US" b="1"/>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72-45EB-8ECA-E065C87F6EFA}"/>
                </c:ext>
              </c:extLst>
            </c:dLbl>
            <c:spPr>
              <a:noFill/>
              <a:ln>
                <a:noFill/>
              </a:ln>
              <a:effectLst/>
            </c:spPr>
            <c:txPr>
              <a:bodyPr/>
              <a:lstStyle/>
              <a:p>
                <a:pPr>
                  <a:defRPr b="1"/>
                </a:pPr>
                <a:endParaRPr lang="en-US"/>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'Balance Sheet'!$K$25:$K$26</c:f>
              <c:strCache>
                <c:ptCount val="2"/>
                <c:pt idx="0">
                  <c:v>ASSETS</c:v>
                </c:pt>
                <c:pt idx="1">
                  <c:v>LIABILITIES AND EQUITY</c:v>
                </c:pt>
              </c:strCache>
            </c:strRef>
          </c:cat>
          <c:val>
            <c:numRef>
              <c:f>'Balance Sheet'!$K$22:$K$23</c:f>
              <c:numCache>
                <c:formatCode>_(* #,##0.00_);_(* \(#,##0.00\);_(* "-"??_);_(@_)</c:formatCode>
                <c:ptCount val="2"/>
                <c:pt idx="0" formatCode="_(* #,##0_);_(* \(#,##0\);_(* &quot;-&quot;??_);_(@_)">
                  <c:v>62673457.199999996</c:v>
                </c:pt>
                <c:pt idx="1">
                  <c:v>52615150.579999998</c:v>
                </c:pt>
              </c:numCache>
            </c:numRef>
          </c:val>
          <c:extLst>
            <c:ext xmlns:c16="http://schemas.microsoft.com/office/drawing/2014/chart" uri="{C3380CC4-5D6E-409C-BE32-E72D297353CC}">
              <c16:uniqueId val="{00000004-1372-45EB-8ECA-E065C87F6EFA}"/>
            </c:ext>
          </c:extLst>
        </c:ser>
        <c:ser>
          <c:idx val="1"/>
          <c:order val="1"/>
          <c:spPr>
            <a:scene3d>
              <a:camera prst="orthographicFront"/>
              <a:lightRig rig="threePt" dir="t"/>
            </a:scene3d>
            <a:sp3d/>
          </c:spPr>
          <c:invertIfNegative val="0"/>
          <c:dPt>
            <c:idx val="0"/>
            <c:invertIfNegative val="0"/>
            <c:bubble3D val="0"/>
            <c:spPr>
              <a:solidFill>
                <a:schemeClr val="accent3">
                  <a:lumMod val="20000"/>
                  <a:lumOff val="80000"/>
                </a:schemeClr>
              </a:solidFill>
              <a:scene3d>
                <a:camera prst="orthographicFront"/>
                <a:lightRig rig="threePt" dir="t"/>
              </a:scene3d>
              <a:sp3d/>
            </c:spPr>
            <c:extLst>
              <c:ext xmlns:c16="http://schemas.microsoft.com/office/drawing/2014/chart" uri="{C3380CC4-5D6E-409C-BE32-E72D297353CC}">
                <c16:uniqueId val="{00000006-1372-45EB-8ECA-E065C87F6EFA}"/>
              </c:ext>
            </c:extLst>
          </c:dPt>
          <c:dPt>
            <c:idx val="1"/>
            <c:invertIfNegative val="0"/>
            <c:bubble3D val="0"/>
            <c:spPr>
              <a:solidFill>
                <a:schemeClr val="accent2">
                  <a:lumMod val="40000"/>
                  <a:lumOff val="60000"/>
                </a:schemeClr>
              </a:solidFill>
              <a:scene3d>
                <a:camera prst="orthographicFront"/>
                <a:lightRig rig="threePt" dir="t"/>
              </a:scene3d>
              <a:sp3d/>
            </c:spPr>
            <c:extLst>
              <c:ext xmlns:c16="http://schemas.microsoft.com/office/drawing/2014/chart" uri="{C3380CC4-5D6E-409C-BE32-E72D297353CC}">
                <c16:uniqueId val="{00000008-1372-45EB-8ECA-E065C87F6EFA}"/>
              </c:ext>
            </c:extLst>
          </c:dPt>
          <c:dLbls>
            <c:dLbl>
              <c:idx val="0"/>
              <c:layout/>
              <c:tx>
                <c:rich>
                  <a:bodyPr/>
                  <a:lstStyle/>
                  <a:p>
                    <a:r>
                      <a:rPr lang="en-US" b="1"/>
                      <a:t>Fixed Assets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72-45EB-8ECA-E065C87F6EFA}"/>
                </c:ext>
              </c:extLst>
            </c:dLbl>
            <c:dLbl>
              <c:idx val="1"/>
              <c:layout/>
              <c:tx>
                <c:rich>
                  <a:bodyPr/>
                  <a:lstStyle/>
                  <a:p>
                    <a:r>
                      <a:rPr lang="en-US" b="1"/>
                      <a:t>Long</a:t>
                    </a:r>
                    <a:r>
                      <a:rPr lang="en-US" b="1" baseline="0"/>
                      <a:t> Term Liability</a:t>
                    </a:r>
                    <a:endParaRPr lang="en-US" b="1"/>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72-45EB-8ECA-E065C87F6EFA}"/>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'Balance Sheet'!$K$25:$K$26</c:f>
              <c:strCache>
                <c:ptCount val="2"/>
                <c:pt idx="0">
                  <c:v>ASSETS</c:v>
                </c:pt>
                <c:pt idx="1">
                  <c:v>LIABILITIES AND EQUITY</c:v>
                </c:pt>
              </c:strCache>
            </c:strRef>
          </c:cat>
          <c:val>
            <c:numRef>
              <c:f>'Balance Sheet'!$L$22:$L$23</c:f>
              <c:numCache>
                <c:formatCode>_(* #,##0.00_);_(* \(#,##0.00\);_(* "-"??_);_(@_)</c:formatCode>
                <c:ptCount val="2"/>
                <c:pt idx="0" formatCode="_(* #,##0_);_(* \(#,##0\);_(* &quot;-&quot;??_);_(@_)">
                  <c:v>0</c:v>
                </c:pt>
                <c:pt idx="1">
                  <c:v>0</c:v>
                </c:pt>
              </c:numCache>
            </c:numRef>
          </c:val>
          <c:extLst>
            <c:ext xmlns:c16="http://schemas.microsoft.com/office/drawing/2014/chart" uri="{C3380CC4-5D6E-409C-BE32-E72D297353CC}">
              <c16:uniqueId val="{00000009-1372-45EB-8ECA-E065C87F6EFA}"/>
            </c:ext>
          </c:extLst>
        </c:ser>
        <c:ser>
          <c:idx val="2"/>
          <c:order val="2"/>
          <c:spPr>
            <a:solidFill>
              <a:schemeClr val="accent2">
                <a:lumMod val="20000"/>
                <a:lumOff val="80000"/>
              </a:schemeClr>
            </a:solidFill>
            <a:scene3d>
              <a:camera prst="orthographicFront"/>
              <a:lightRig rig="threePt" dir="t"/>
            </a:scene3d>
            <a:sp3d/>
          </c:spPr>
          <c:invertIfNegative val="0"/>
          <c:dLbls>
            <c:dLbl>
              <c:idx val="1"/>
              <c:layout/>
              <c:tx>
                <c:rich>
                  <a:bodyPr/>
                  <a:lstStyle/>
                  <a:p>
                    <a:r>
                      <a:rPr lang="en-US" b="1"/>
                      <a:t>Equity</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372-45EB-8ECA-E065C87F6EFA}"/>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'Balance Sheet'!$K$25:$K$26</c:f>
              <c:strCache>
                <c:ptCount val="2"/>
                <c:pt idx="0">
                  <c:v>ASSETS</c:v>
                </c:pt>
                <c:pt idx="1">
                  <c:v>LIABILITIES AND EQUITY</c:v>
                </c:pt>
              </c:strCache>
            </c:strRef>
          </c:cat>
          <c:val>
            <c:numRef>
              <c:f>'Balance Sheet'!$M$22:$M$23</c:f>
              <c:numCache>
                <c:formatCode>_(* #,##0.00_);_(* \(#,##0.00\);_(* "-"??_);_(@_)</c:formatCode>
                <c:ptCount val="2"/>
                <c:pt idx="1">
                  <c:v>10058306.620000001</c:v>
                </c:pt>
              </c:numCache>
            </c:numRef>
          </c:val>
          <c:extLst>
            <c:ext xmlns:c16="http://schemas.microsoft.com/office/drawing/2014/chart" uri="{C3380CC4-5D6E-409C-BE32-E72D297353CC}">
              <c16:uniqueId val="{0000000B-1372-45EB-8ECA-E065C87F6EFA}"/>
            </c:ext>
          </c:extLst>
        </c:ser>
        <c:dLbls>
          <c:showLegendKey val="0"/>
          <c:showVal val="0"/>
          <c:showCatName val="0"/>
          <c:showSerName val="0"/>
          <c:showPercent val="0"/>
          <c:showBubbleSize val="0"/>
        </c:dLbls>
        <c:gapWidth val="5"/>
        <c:shape val="cylinder"/>
        <c:axId val="251545920"/>
        <c:axId val="251546312"/>
        <c:axId val="0"/>
      </c:bar3DChart>
      <c:catAx>
        <c:axId val="251545920"/>
        <c:scaling>
          <c:orientation val="minMax"/>
        </c:scaling>
        <c:delete val="1"/>
        <c:axPos val="b"/>
        <c:numFmt formatCode="General" sourceLinked="1"/>
        <c:majorTickMark val="out"/>
        <c:minorTickMark val="none"/>
        <c:tickLblPos val="none"/>
        <c:crossAx val="251546312"/>
        <c:crosses val="autoZero"/>
        <c:auto val="1"/>
        <c:lblAlgn val="ctr"/>
        <c:lblOffset val="100"/>
        <c:noMultiLvlLbl val="0"/>
      </c:catAx>
      <c:valAx>
        <c:axId val="251546312"/>
        <c:scaling>
          <c:orientation val="minMax"/>
        </c:scaling>
        <c:delete val="0"/>
        <c:axPos val="l"/>
        <c:numFmt formatCode="#,##0" sourceLinked="0"/>
        <c:majorTickMark val="out"/>
        <c:minorTickMark val="none"/>
        <c:tickLblPos val="nextTo"/>
        <c:crossAx val="251545920"/>
        <c:crosses val="autoZero"/>
        <c:crossBetween val="between"/>
        <c:dispUnits>
          <c:builtInUnit val="millions"/>
          <c:dispUnitsLbl>
            <c:layout/>
          </c:dispUnitsLbl>
        </c:dispUnits>
      </c:valAx>
    </c:plotArea>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156882</xdr:colOff>
      <xdr:row>15</xdr:row>
      <xdr:rowOff>11205</xdr:rowOff>
    </xdr:from>
    <xdr:to>
      <xdr:col>8</xdr:col>
      <xdr:colOff>435767</xdr:colOff>
      <xdr:row>26</xdr:row>
      <xdr:rowOff>78440</xdr:rowOff>
    </xdr:to>
    <xdr:sp macro="" textlink="">
      <xdr:nvSpPr>
        <xdr:cNvPr id="17" name="Right Brace 16"/>
        <xdr:cNvSpPr/>
      </xdr:nvSpPr>
      <xdr:spPr>
        <a:xfrm>
          <a:off x="8043582" y="3954555"/>
          <a:ext cx="278885" cy="2648510"/>
        </a:xfrm>
        <a:prstGeom prst="rightBrace">
          <a:avLst>
            <a:gd name="adj1" fmla="val 8333"/>
            <a:gd name="adj2" fmla="val 65871"/>
          </a:avLst>
        </a:prstGeom>
        <a:noFill/>
        <a:ln w="47625" cap="flat" cmpd="sng" algn="ctr">
          <a:solidFill>
            <a:srgbClr val="0074AB">
              <a:shade val="95000"/>
              <a:satMod val="105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9</xdr:col>
      <xdr:colOff>2071687</xdr:colOff>
      <xdr:row>10</xdr:row>
      <xdr:rowOff>33422</xdr:rowOff>
    </xdr:from>
    <xdr:to>
      <xdr:col>10</xdr:col>
      <xdr:colOff>585107</xdr:colOff>
      <xdr:row>27</xdr:row>
      <xdr:rowOff>1</xdr:rowOff>
    </xdr:to>
    <xdr:sp macro="" textlink="">
      <xdr:nvSpPr>
        <xdr:cNvPr id="18" name="Right Brace 17"/>
        <xdr:cNvSpPr/>
      </xdr:nvSpPr>
      <xdr:spPr>
        <a:xfrm>
          <a:off x="11441906" y="3176672"/>
          <a:ext cx="716076" cy="3931360"/>
        </a:xfrm>
        <a:prstGeom prst="rightBrace">
          <a:avLst/>
        </a:prstGeom>
        <a:noFill/>
        <a:ln w="47625" cap="flat" cmpd="sng" algn="ctr">
          <a:solidFill>
            <a:srgbClr val="0074AB">
              <a:shade val="95000"/>
              <a:satMod val="105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3</xdr:col>
      <xdr:colOff>308615</xdr:colOff>
      <xdr:row>9</xdr:row>
      <xdr:rowOff>67339</xdr:rowOff>
    </xdr:from>
    <xdr:to>
      <xdr:col>3</xdr:col>
      <xdr:colOff>598915</xdr:colOff>
      <xdr:row>12</xdr:row>
      <xdr:rowOff>156883</xdr:rowOff>
    </xdr:to>
    <xdr:sp macro="" textlink="">
      <xdr:nvSpPr>
        <xdr:cNvPr id="19" name="Up Arrow 18"/>
        <xdr:cNvSpPr/>
      </xdr:nvSpPr>
      <xdr:spPr>
        <a:xfrm rot="10800000">
          <a:off x="1156340" y="2610514"/>
          <a:ext cx="290300" cy="794394"/>
        </a:xfrm>
        <a:prstGeom prst="upArrow">
          <a:avLst/>
        </a:prstGeom>
        <a:gradFill rotWithShape="1">
          <a:gsLst>
            <a:gs pos="0">
              <a:srgbClr val="00AEEF">
                <a:shade val="51000"/>
                <a:satMod val="130000"/>
              </a:srgbClr>
            </a:gs>
            <a:gs pos="80000">
              <a:srgbClr val="00AEEF">
                <a:shade val="93000"/>
                <a:satMod val="130000"/>
              </a:srgbClr>
            </a:gs>
            <a:gs pos="100000">
              <a:srgbClr val="00AEEF">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315337</xdr:colOff>
      <xdr:row>14</xdr:row>
      <xdr:rowOff>85277</xdr:rowOff>
    </xdr:from>
    <xdr:to>
      <xdr:col>3</xdr:col>
      <xdr:colOff>605637</xdr:colOff>
      <xdr:row>17</xdr:row>
      <xdr:rowOff>163615</xdr:rowOff>
    </xdr:to>
    <xdr:sp macro="" textlink="">
      <xdr:nvSpPr>
        <xdr:cNvPr id="20" name="Up Arrow 19"/>
        <xdr:cNvSpPr/>
      </xdr:nvSpPr>
      <xdr:spPr>
        <a:xfrm rot="10800000">
          <a:off x="1163062" y="3790502"/>
          <a:ext cx="290300" cy="792713"/>
        </a:xfrm>
        <a:prstGeom prst="upArrow">
          <a:avLst/>
        </a:prstGeom>
        <a:gradFill rotWithShape="1">
          <a:gsLst>
            <a:gs pos="0">
              <a:srgbClr val="00AEEF">
                <a:shade val="51000"/>
                <a:satMod val="130000"/>
              </a:srgbClr>
            </a:gs>
            <a:gs pos="80000">
              <a:srgbClr val="00AEEF">
                <a:shade val="93000"/>
                <a:satMod val="130000"/>
              </a:srgbClr>
            </a:gs>
            <a:gs pos="100000">
              <a:srgbClr val="00AEEF">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315337</xdr:colOff>
      <xdr:row>19</xdr:row>
      <xdr:rowOff>74081</xdr:rowOff>
    </xdr:from>
    <xdr:to>
      <xdr:col>3</xdr:col>
      <xdr:colOff>605637</xdr:colOff>
      <xdr:row>22</xdr:row>
      <xdr:rowOff>163625</xdr:rowOff>
    </xdr:to>
    <xdr:sp macro="" textlink="">
      <xdr:nvSpPr>
        <xdr:cNvPr id="21" name="Up Arrow 20"/>
        <xdr:cNvSpPr/>
      </xdr:nvSpPr>
      <xdr:spPr>
        <a:xfrm rot="10800000">
          <a:off x="1163062" y="4960406"/>
          <a:ext cx="290300" cy="794394"/>
        </a:xfrm>
        <a:prstGeom prst="upArrow">
          <a:avLst/>
        </a:prstGeom>
        <a:gradFill rotWithShape="1">
          <a:gsLst>
            <a:gs pos="0">
              <a:srgbClr val="00AEEF">
                <a:shade val="51000"/>
                <a:satMod val="130000"/>
              </a:srgbClr>
            </a:gs>
            <a:gs pos="80000">
              <a:srgbClr val="00AEEF">
                <a:shade val="93000"/>
                <a:satMod val="130000"/>
              </a:srgbClr>
            </a:gs>
            <a:gs pos="100000">
              <a:srgbClr val="00AEEF">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3</xdr:col>
      <xdr:colOff>322059</xdr:colOff>
      <xdr:row>24</xdr:row>
      <xdr:rowOff>58401</xdr:rowOff>
    </xdr:from>
    <xdr:to>
      <xdr:col>3</xdr:col>
      <xdr:colOff>612359</xdr:colOff>
      <xdr:row>27</xdr:row>
      <xdr:rowOff>192768</xdr:rowOff>
    </xdr:to>
    <xdr:sp macro="" textlink="">
      <xdr:nvSpPr>
        <xdr:cNvPr id="22" name="Up Arrow 21"/>
        <xdr:cNvSpPr/>
      </xdr:nvSpPr>
      <xdr:spPr>
        <a:xfrm rot="10800000">
          <a:off x="1169784" y="6116301"/>
          <a:ext cx="290300" cy="839217"/>
        </a:xfrm>
        <a:prstGeom prst="upArrow">
          <a:avLst/>
        </a:prstGeom>
        <a:gradFill rotWithShape="1">
          <a:gsLst>
            <a:gs pos="0">
              <a:srgbClr val="00AEEF">
                <a:shade val="51000"/>
                <a:satMod val="130000"/>
              </a:srgbClr>
            </a:gs>
            <a:gs pos="80000">
              <a:srgbClr val="00AEEF">
                <a:shade val="93000"/>
                <a:satMod val="130000"/>
              </a:srgbClr>
            </a:gs>
            <a:gs pos="100000">
              <a:srgbClr val="00AEEF">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881063</xdr:colOff>
      <xdr:row>12</xdr:row>
      <xdr:rowOff>142875</xdr:rowOff>
    </xdr:from>
    <xdr:to>
      <xdr:col>1</xdr:col>
      <xdr:colOff>1035844</xdr:colOff>
      <xdr:row>18</xdr:row>
      <xdr:rowOff>11907</xdr:rowOff>
    </xdr:to>
    <xdr:sp macro="" textlink="">
      <xdr:nvSpPr>
        <xdr:cNvPr id="2" name="Left Brace 1"/>
        <xdr:cNvSpPr/>
      </xdr:nvSpPr>
      <xdr:spPr>
        <a:xfrm>
          <a:off x="1488282" y="2488406"/>
          <a:ext cx="154781" cy="821532"/>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807249</xdr:colOff>
      <xdr:row>21</xdr:row>
      <xdr:rowOff>80932</xdr:rowOff>
    </xdr:from>
    <xdr:to>
      <xdr:col>1</xdr:col>
      <xdr:colOff>1000126</xdr:colOff>
      <xdr:row>25</xdr:row>
      <xdr:rowOff>0</xdr:rowOff>
    </xdr:to>
    <xdr:sp macro="" textlink="">
      <xdr:nvSpPr>
        <xdr:cNvPr id="3" name="Left Brace 2"/>
        <xdr:cNvSpPr/>
      </xdr:nvSpPr>
      <xdr:spPr>
        <a:xfrm>
          <a:off x="1414468" y="3950463"/>
          <a:ext cx="192877" cy="871568"/>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840585</xdr:colOff>
      <xdr:row>31</xdr:row>
      <xdr:rowOff>71436</xdr:rowOff>
    </xdr:from>
    <xdr:to>
      <xdr:col>1</xdr:col>
      <xdr:colOff>1083470</xdr:colOff>
      <xdr:row>38</xdr:row>
      <xdr:rowOff>0</xdr:rowOff>
    </xdr:to>
    <xdr:sp macro="" textlink="">
      <xdr:nvSpPr>
        <xdr:cNvPr id="4" name="Left Brace 3"/>
        <xdr:cNvSpPr/>
      </xdr:nvSpPr>
      <xdr:spPr>
        <a:xfrm>
          <a:off x="1447804" y="6060280"/>
          <a:ext cx="242885" cy="1428751"/>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778673</xdr:colOff>
      <xdr:row>42</xdr:row>
      <xdr:rowOff>159513</xdr:rowOff>
    </xdr:from>
    <xdr:to>
      <xdr:col>1</xdr:col>
      <xdr:colOff>1083469</xdr:colOff>
      <xdr:row>50</xdr:row>
      <xdr:rowOff>190500</xdr:rowOff>
    </xdr:to>
    <xdr:sp macro="" textlink="">
      <xdr:nvSpPr>
        <xdr:cNvPr id="5" name="Left Brace 4"/>
        <xdr:cNvSpPr/>
      </xdr:nvSpPr>
      <xdr:spPr>
        <a:xfrm>
          <a:off x="1385892" y="9410669"/>
          <a:ext cx="304796" cy="3674300"/>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916780</xdr:colOff>
      <xdr:row>8</xdr:row>
      <xdr:rowOff>107156</xdr:rowOff>
    </xdr:from>
    <xdr:to>
      <xdr:col>2</xdr:col>
      <xdr:colOff>47624</xdr:colOff>
      <xdr:row>53</xdr:row>
      <xdr:rowOff>11906</xdr:rowOff>
    </xdr:to>
    <xdr:sp macro="" textlink="">
      <xdr:nvSpPr>
        <xdr:cNvPr id="3" name="Left Brace 2"/>
        <xdr:cNvSpPr/>
      </xdr:nvSpPr>
      <xdr:spPr>
        <a:xfrm>
          <a:off x="1666874" y="1583531"/>
          <a:ext cx="238125" cy="8215313"/>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523875</xdr:colOff>
      <xdr:row>10</xdr:row>
      <xdr:rowOff>142876</xdr:rowOff>
    </xdr:from>
    <xdr:to>
      <xdr:col>15</xdr:col>
      <xdr:colOff>68426</xdr:colOff>
      <xdr:row>33</xdr:row>
      <xdr:rowOff>49540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433916</xdr:colOff>
      <xdr:row>2</xdr:row>
      <xdr:rowOff>52917</xdr:rowOff>
    </xdr:from>
    <xdr:to>
      <xdr:col>2</xdr:col>
      <xdr:colOff>571500</xdr:colOff>
      <xdr:row>2</xdr:row>
      <xdr:rowOff>137583</xdr:rowOff>
    </xdr:to>
    <xdr:sp macro="" textlink="">
      <xdr:nvSpPr>
        <xdr:cNvPr id="3" name="Down Arrow 2"/>
        <xdr:cNvSpPr/>
      </xdr:nvSpPr>
      <xdr:spPr>
        <a:xfrm>
          <a:off x="1661583" y="433917"/>
          <a:ext cx="137584" cy="84666"/>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84667</xdr:colOff>
      <xdr:row>3</xdr:row>
      <xdr:rowOff>179916</xdr:rowOff>
    </xdr:from>
    <xdr:to>
      <xdr:col>1</xdr:col>
      <xdr:colOff>306917</xdr:colOff>
      <xdr:row>23</xdr:row>
      <xdr:rowOff>169333</xdr:rowOff>
    </xdr:to>
    <xdr:sp macro="" textlink="">
      <xdr:nvSpPr>
        <xdr:cNvPr id="4" name="Left Brace 3"/>
        <xdr:cNvSpPr/>
      </xdr:nvSpPr>
      <xdr:spPr>
        <a:xfrm>
          <a:off x="698500" y="751416"/>
          <a:ext cx="222250" cy="3799417"/>
        </a:xfrm>
        <a:prstGeom prst="lef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Jettheme2">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tabSelected="1" workbookViewId="0">
      <selection activeCell="D12" sqref="D12"/>
    </sheetView>
  </sheetViews>
  <sheetFormatPr defaultColWidth="9.140625" defaultRowHeight="14.25" x14ac:dyDescent="0.25"/>
  <cols>
    <col min="1" max="1" width="4.42578125" style="273" hidden="1" customWidth="1"/>
    <col min="2" max="2" width="9.140625" style="273"/>
    <col min="3" max="3" width="32" style="274" bestFit="1" customWidth="1"/>
    <col min="4" max="4" width="77.28515625" style="275" customWidth="1"/>
    <col min="5" max="5" width="10.140625" style="274" customWidth="1"/>
    <col min="6" max="16384" width="9.140625" style="273"/>
  </cols>
  <sheetData>
    <row r="1" spans="1:5" ht="14.25" hidden="1" customHeight="1" x14ac:dyDescent="0.25">
      <c r="A1" s="273" t="s">
        <v>5</v>
      </c>
    </row>
    <row r="7" spans="1:5" ht="30.75" x14ac:dyDescent="0.25">
      <c r="C7" s="276" t="s">
        <v>746</v>
      </c>
    </row>
    <row r="9" spans="1:5" ht="42.75" x14ac:dyDescent="0.25">
      <c r="C9" s="277" t="s">
        <v>342</v>
      </c>
      <c r="D9" s="275" t="s">
        <v>753</v>
      </c>
    </row>
    <row r="10" spans="1:5" x14ac:dyDescent="0.25">
      <c r="C10" s="277"/>
    </row>
    <row r="11" spans="1:5" x14ac:dyDescent="0.25">
      <c r="C11" s="277" t="s">
        <v>810</v>
      </c>
      <c r="D11" s="275" t="s">
        <v>811</v>
      </c>
    </row>
    <row r="12" spans="1:5" ht="128.25" x14ac:dyDescent="0.25">
      <c r="C12" s="277"/>
      <c r="D12" s="279" t="s">
        <v>825</v>
      </c>
    </row>
    <row r="13" spans="1:5" x14ac:dyDescent="0.25">
      <c r="C13" s="277"/>
    </row>
    <row r="14" spans="1:5" ht="42.75" x14ac:dyDescent="0.25">
      <c r="C14" s="277" t="s">
        <v>343</v>
      </c>
      <c r="D14" s="275" t="s">
        <v>812</v>
      </c>
      <c r="E14" s="278" t="s">
        <v>752</v>
      </c>
    </row>
    <row r="15" spans="1:5" ht="16.5" customHeight="1" x14ac:dyDescent="0.25">
      <c r="C15" s="277"/>
    </row>
    <row r="16" spans="1:5" ht="28.5" x14ac:dyDescent="0.25">
      <c r="C16" s="277" t="s">
        <v>747</v>
      </c>
      <c r="D16" s="275" t="s">
        <v>813</v>
      </c>
      <c r="E16" s="278" t="s">
        <v>748</v>
      </c>
    </row>
    <row r="17" spans="3:5" x14ac:dyDescent="0.25">
      <c r="C17" s="277"/>
    </row>
    <row r="18" spans="3:5" ht="57" x14ac:dyDescent="0.25">
      <c r="C18" s="277" t="s">
        <v>804</v>
      </c>
      <c r="D18" s="275" t="s">
        <v>814</v>
      </c>
      <c r="E18" s="278" t="s">
        <v>815</v>
      </c>
    </row>
    <row r="19" spans="3:5" x14ac:dyDescent="0.25">
      <c r="C19" s="277"/>
    </row>
    <row r="20" spans="3:5" ht="28.5" x14ac:dyDescent="0.25">
      <c r="C20" s="277" t="s">
        <v>749</v>
      </c>
      <c r="D20" s="275" t="s">
        <v>816</v>
      </c>
      <c r="E20" s="278" t="s">
        <v>817</v>
      </c>
    </row>
    <row r="21" spans="3:5" x14ac:dyDescent="0.25">
      <c r="C21" s="277"/>
    </row>
    <row r="22" spans="3:5" x14ac:dyDescent="0.25">
      <c r="C22" s="277" t="s">
        <v>750</v>
      </c>
      <c r="D22" s="275" t="s">
        <v>818</v>
      </c>
      <c r="E22" s="278" t="s">
        <v>819</v>
      </c>
    </row>
    <row r="23" spans="3:5" x14ac:dyDescent="0.25">
      <c r="C23" s="277"/>
    </row>
    <row r="24" spans="3:5" x14ac:dyDescent="0.25">
      <c r="C24" s="277" t="s">
        <v>751</v>
      </c>
      <c r="D24" s="275" t="s">
        <v>820</v>
      </c>
      <c r="E24" s="278" t="s">
        <v>821</v>
      </c>
    </row>
    <row r="25" spans="3:5" x14ac:dyDescent="0.25">
      <c r="C25" s="277"/>
    </row>
    <row r="26" spans="3:5" ht="71.25" x14ac:dyDescent="0.25">
      <c r="C26" s="277" t="s">
        <v>822</v>
      </c>
      <c r="D26" s="275" t="s">
        <v>823</v>
      </c>
    </row>
    <row r="27" spans="3:5" x14ac:dyDescent="0.25">
      <c r="C27" s="277"/>
    </row>
    <row r="28" spans="3:5" x14ac:dyDescent="0.25">
      <c r="C28" s="277" t="s">
        <v>344</v>
      </c>
      <c r="D28" s="275" t="s">
        <v>824</v>
      </c>
    </row>
  </sheetData>
  <hyperlinks>
    <hyperlink ref="E22" r:id="rId1"/>
    <hyperlink ref="E20" r:id="rId2"/>
    <hyperlink ref="E16" r:id="rId3"/>
    <hyperlink ref="E14" r:id="rId4"/>
    <hyperlink ref="E24" r:id="rId5"/>
    <hyperlink ref="E18" r:id="rId6"/>
  </hyperlinks>
  <pageMargins left="0.25" right="0.25" top="0.75" bottom="0.75" header="0.3" footer="0.3"/>
  <pageSetup scale="63" orientation="portrait"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RowHeight="15" x14ac:dyDescent="0.25"/>
  <sheetData>
    <row r="1" spans="1:16" x14ac:dyDescent="0.25">
      <c r="A1" s="106" t="s">
        <v>339</v>
      </c>
      <c r="B1" s="106" t="s">
        <v>4</v>
      </c>
    </row>
    <row r="3" spans="1:16" x14ac:dyDescent="0.25">
      <c r="D3" s="106" t="s">
        <v>6</v>
      </c>
    </row>
    <row r="5" spans="1:16" x14ac:dyDescent="0.25">
      <c r="D5" s="106" t="s">
        <v>109</v>
      </c>
      <c r="E5" s="106" t="s">
        <v>144</v>
      </c>
    </row>
    <row r="6" spans="1:16" x14ac:dyDescent="0.25">
      <c r="D6" s="106" t="s">
        <v>110</v>
      </c>
      <c r="E6" s="106" t="s">
        <v>145</v>
      </c>
    </row>
    <row r="7" spans="1:16" x14ac:dyDescent="0.25">
      <c r="D7" s="106" t="s">
        <v>111</v>
      </c>
      <c r="E7" s="106" t="s">
        <v>146</v>
      </c>
    </row>
    <row r="8" spans="1:16" x14ac:dyDescent="0.25">
      <c r="N8" s="106" t="s">
        <v>7</v>
      </c>
    </row>
    <row r="9" spans="1:16" x14ac:dyDescent="0.25">
      <c r="J9" s="106" t="s">
        <v>8</v>
      </c>
    </row>
    <row r="10" spans="1:16" x14ac:dyDescent="0.25">
      <c r="F10" s="106" t="s">
        <v>9</v>
      </c>
      <c r="H10" s="106" t="s">
        <v>10</v>
      </c>
      <c r="J10" s="106" t="s">
        <v>11</v>
      </c>
      <c r="L10" s="106" t="s">
        <v>12</v>
      </c>
      <c r="M10" s="106" t="s">
        <v>13</v>
      </c>
      <c r="N10" s="106" t="s">
        <v>150</v>
      </c>
      <c r="P10" s="106" t="s">
        <v>151</v>
      </c>
    </row>
    <row r="12" spans="1:16" x14ac:dyDescent="0.25">
      <c r="D12" s="106" t="s">
        <v>14</v>
      </c>
      <c r="M12" s="106" t="s">
        <v>152</v>
      </c>
    </row>
    <row r="13" spans="1:16" x14ac:dyDescent="0.25">
      <c r="B13" s="106" t="s">
        <v>15</v>
      </c>
      <c r="E13" s="106" t="s">
        <v>16</v>
      </c>
      <c r="F13" s="106" t="s">
        <v>153</v>
      </c>
      <c r="H13" s="106" t="s">
        <v>154</v>
      </c>
      <c r="J13" s="106" t="s">
        <v>155</v>
      </c>
      <c r="L13" s="106" t="s">
        <v>156</v>
      </c>
      <c r="M13" s="106" t="s">
        <v>157</v>
      </c>
      <c r="N13" s="106" t="s">
        <v>158</v>
      </c>
      <c r="P13" s="106" t="s">
        <v>159</v>
      </c>
    </row>
    <row r="14" spans="1:16" x14ac:dyDescent="0.25">
      <c r="B14" s="106" t="s">
        <v>17</v>
      </c>
      <c r="E14" s="106" t="s">
        <v>18</v>
      </c>
      <c r="F14" s="106" t="s">
        <v>160</v>
      </c>
      <c r="H14" s="106" t="s">
        <v>161</v>
      </c>
      <c r="J14" s="106" t="s">
        <v>162</v>
      </c>
      <c r="L14" s="106" t="s">
        <v>163</v>
      </c>
      <c r="N14" s="106" t="s">
        <v>164</v>
      </c>
      <c r="P14" s="106" t="s">
        <v>165</v>
      </c>
    </row>
    <row r="15" spans="1:16" x14ac:dyDescent="0.25">
      <c r="B15" s="106" t="s">
        <v>19</v>
      </c>
      <c r="E15" s="106" t="s">
        <v>20</v>
      </c>
      <c r="F15" s="106" t="s">
        <v>166</v>
      </c>
      <c r="H15" s="106" t="s">
        <v>167</v>
      </c>
      <c r="J15" s="106" t="s">
        <v>168</v>
      </c>
      <c r="L15" s="106" t="s">
        <v>169</v>
      </c>
      <c r="N15" s="106" t="s">
        <v>170</v>
      </c>
      <c r="P15" s="106" t="s">
        <v>171</v>
      </c>
    </row>
    <row r="16" spans="1:16" x14ac:dyDescent="0.25">
      <c r="B16" s="106" t="s">
        <v>21</v>
      </c>
      <c r="E16" s="106" t="s">
        <v>22</v>
      </c>
      <c r="F16" s="106" t="s">
        <v>172</v>
      </c>
      <c r="H16" s="106" t="s">
        <v>173</v>
      </c>
      <c r="J16" s="106" t="s">
        <v>174</v>
      </c>
      <c r="L16" s="106" t="s">
        <v>175</v>
      </c>
      <c r="N16" s="106" t="s">
        <v>176</v>
      </c>
      <c r="P16" s="106" t="s">
        <v>177</v>
      </c>
    </row>
    <row r="17" spans="2:16" x14ac:dyDescent="0.25">
      <c r="B17" s="106" t="s">
        <v>23</v>
      </c>
      <c r="E17" s="106" t="s">
        <v>24</v>
      </c>
      <c r="F17" s="106" t="s">
        <v>178</v>
      </c>
      <c r="H17" s="106" t="s">
        <v>179</v>
      </c>
      <c r="J17" s="106" t="s">
        <v>180</v>
      </c>
      <c r="L17" s="106" t="s">
        <v>181</v>
      </c>
      <c r="N17" s="106" t="s">
        <v>182</v>
      </c>
      <c r="P17" s="106" t="s">
        <v>183</v>
      </c>
    </row>
    <row r="18" spans="2:16" x14ac:dyDescent="0.25">
      <c r="B18" s="106" t="s">
        <v>147</v>
      </c>
      <c r="E18" s="106" t="s">
        <v>25</v>
      </c>
      <c r="F18" s="106" t="s">
        <v>184</v>
      </c>
      <c r="H18" s="106" t="s">
        <v>185</v>
      </c>
      <c r="J18" s="106" t="s">
        <v>186</v>
      </c>
      <c r="L18" s="106" t="s">
        <v>187</v>
      </c>
      <c r="M18" s="106" t="s">
        <v>188</v>
      </c>
      <c r="N18" s="106" t="s">
        <v>189</v>
      </c>
      <c r="P18" s="106" t="s">
        <v>190</v>
      </c>
    </row>
    <row r="20" spans="2:16" x14ac:dyDescent="0.25">
      <c r="D20" s="106" t="s">
        <v>26</v>
      </c>
    </row>
    <row r="21" spans="2:16" x14ac:dyDescent="0.25">
      <c r="B21" s="106" t="s">
        <v>148</v>
      </c>
      <c r="E21" s="106" t="s">
        <v>27</v>
      </c>
      <c r="F21" s="106" t="s">
        <v>191</v>
      </c>
      <c r="H21" s="106" t="s">
        <v>192</v>
      </c>
      <c r="J21" s="106" t="s">
        <v>193</v>
      </c>
      <c r="L21" s="106" t="s">
        <v>194</v>
      </c>
      <c r="N21" s="106" t="s">
        <v>195</v>
      </c>
      <c r="P21" s="106" t="s">
        <v>196</v>
      </c>
    </row>
    <row r="22" spans="2:16" x14ac:dyDescent="0.25">
      <c r="B22" s="106" t="s">
        <v>28</v>
      </c>
      <c r="E22" s="106" t="s">
        <v>29</v>
      </c>
      <c r="F22" s="106" t="s">
        <v>197</v>
      </c>
      <c r="H22" s="106" t="s">
        <v>198</v>
      </c>
      <c r="J22" s="106" t="s">
        <v>199</v>
      </c>
      <c r="L22" s="106" t="s">
        <v>200</v>
      </c>
      <c r="N22" s="106" t="s">
        <v>201</v>
      </c>
      <c r="P22" s="106" t="s">
        <v>202</v>
      </c>
    </row>
    <row r="23" spans="2:16" x14ac:dyDescent="0.25">
      <c r="B23" s="106" t="s">
        <v>30</v>
      </c>
      <c r="E23" s="106" t="s">
        <v>31</v>
      </c>
      <c r="F23" s="106" t="s">
        <v>203</v>
      </c>
      <c r="H23" s="106" t="s">
        <v>204</v>
      </c>
      <c r="J23" s="106" t="s">
        <v>205</v>
      </c>
      <c r="L23" s="106" t="s">
        <v>206</v>
      </c>
      <c r="N23" s="106" t="s">
        <v>207</v>
      </c>
      <c r="P23" s="106" t="s">
        <v>208</v>
      </c>
    </row>
    <row r="24" spans="2:16" x14ac:dyDescent="0.25">
      <c r="B24" s="106" t="s">
        <v>32</v>
      </c>
      <c r="E24" s="106" t="s">
        <v>33</v>
      </c>
      <c r="F24" s="106" t="s">
        <v>209</v>
      </c>
      <c r="H24" s="106" t="s">
        <v>210</v>
      </c>
      <c r="J24" s="106" t="s">
        <v>211</v>
      </c>
      <c r="L24" s="106" t="s">
        <v>212</v>
      </c>
      <c r="N24" s="106" t="s">
        <v>213</v>
      </c>
      <c r="P24" s="106" t="s">
        <v>214</v>
      </c>
    </row>
    <row r="25" spans="2:16" x14ac:dyDescent="0.25">
      <c r="B25" s="106" t="s">
        <v>34</v>
      </c>
      <c r="E25" s="106" t="s">
        <v>35</v>
      </c>
      <c r="F25" s="106" t="s">
        <v>215</v>
      </c>
      <c r="H25" s="106" t="s">
        <v>216</v>
      </c>
      <c r="J25" s="106" t="s">
        <v>217</v>
      </c>
      <c r="L25" s="106" t="s">
        <v>218</v>
      </c>
      <c r="N25" s="106" t="s">
        <v>219</v>
      </c>
      <c r="P25" s="106" t="s">
        <v>220</v>
      </c>
    </row>
    <row r="26" spans="2:16" x14ac:dyDescent="0.25">
      <c r="E26" s="106" t="s">
        <v>36</v>
      </c>
      <c r="F26" s="106" t="s">
        <v>221</v>
      </c>
      <c r="H26" s="106" t="s">
        <v>222</v>
      </c>
      <c r="J26" s="106" t="s">
        <v>223</v>
      </c>
      <c r="L26" s="106" t="s">
        <v>224</v>
      </c>
      <c r="M26" s="106" t="s">
        <v>225</v>
      </c>
      <c r="N26" s="106" t="s">
        <v>226</v>
      </c>
      <c r="P26" s="106" t="s">
        <v>227</v>
      </c>
    </row>
    <row r="27" spans="2:16" x14ac:dyDescent="0.25">
      <c r="L27" s="106" t="s">
        <v>228</v>
      </c>
    </row>
    <row r="28" spans="2:16" x14ac:dyDescent="0.25">
      <c r="D28" s="106" t="s">
        <v>37</v>
      </c>
      <c r="F28" s="106" t="s">
        <v>229</v>
      </c>
      <c r="H28" s="106" t="s">
        <v>230</v>
      </c>
      <c r="J28" s="106" t="s">
        <v>231</v>
      </c>
      <c r="L28" s="106" t="s">
        <v>232</v>
      </c>
      <c r="M28" s="106" t="s">
        <v>233</v>
      </c>
    </row>
    <row r="31" spans="2:16" x14ac:dyDescent="0.25">
      <c r="D31" s="106" t="s">
        <v>38</v>
      </c>
    </row>
    <row r="32" spans="2:16" x14ac:dyDescent="0.25">
      <c r="B32" s="106" t="s">
        <v>39</v>
      </c>
      <c r="E32" s="106" t="s">
        <v>40</v>
      </c>
      <c r="F32" s="106" t="s">
        <v>234</v>
      </c>
      <c r="H32" s="106" t="s">
        <v>235</v>
      </c>
      <c r="J32" s="106" t="s">
        <v>236</v>
      </c>
      <c r="L32" s="106" t="s">
        <v>237</v>
      </c>
      <c r="N32" s="106" t="s">
        <v>238</v>
      </c>
      <c r="P32" s="106" t="s">
        <v>239</v>
      </c>
    </row>
    <row r="33" spans="2:16" x14ac:dyDescent="0.25">
      <c r="B33" s="106" t="s">
        <v>41</v>
      </c>
      <c r="E33" s="106" t="s">
        <v>42</v>
      </c>
      <c r="F33" s="106" t="s">
        <v>240</v>
      </c>
      <c r="H33" s="106" t="s">
        <v>241</v>
      </c>
      <c r="J33" s="106" t="s">
        <v>242</v>
      </c>
      <c r="L33" s="106" t="s">
        <v>243</v>
      </c>
      <c r="N33" s="106" t="s">
        <v>244</v>
      </c>
      <c r="P33" s="106" t="s">
        <v>245</v>
      </c>
    </row>
    <row r="34" spans="2:16" x14ac:dyDescent="0.25">
      <c r="B34" s="106" t="s">
        <v>43</v>
      </c>
      <c r="E34" s="106" t="s">
        <v>44</v>
      </c>
      <c r="F34" s="106" t="s">
        <v>246</v>
      </c>
      <c r="H34" s="106" t="s">
        <v>247</v>
      </c>
      <c r="J34" s="106" t="s">
        <v>248</v>
      </c>
      <c r="L34" s="106" t="s">
        <v>249</v>
      </c>
      <c r="N34" s="106" t="s">
        <v>250</v>
      </c>
      <c r="P34" s="106" t="s">
        <v>251</v>
      </c>
    </row>
    <row r="35" spans="2:16" x14ac:dyDescent="0.25">
      <c r="B35" s="106" t="s">
        <v>45</v>
      </c>
      <c r="E35" s="106" t="s">
        <v>46</v>
      </c>
      <c r="F35" s="106" t="s">
        <v>252</v>
      </c>
      <c r="H35" s="106" t="s">
        <v>253</v>
      </c>
      <c r="J35" s="106" t="s">
        <v>254</v>
      </c>
      <c r="L35" s="106" t="s">
        <v>255</v>
      </c>
      <c r="N35" s="106" t="s">
        <v>256</v>
      </c>
      <c r="P35" s="106" t="s">
        <v>257</v>
      </c>
    </row>
    <row r="36" spans="2:16" x14ac:dyDescent="0.25">
      <c r="B36" s="106" t="s">
        <v>47</v>
      </c>
      <c r="E36" s="106" t="s">
        <v>48</v>
      </c>
      <c r="F36" s="106" t="s">
        <v>258</v>
      </c>
      <c r="H36" s="106" t="s">
        <v>259</v>
      </c>
      <c r="J36" s="106" t="s">
        <v>260</v>
      </c>
      <c r="L36" s="106" t="s">
        <v>261</v>
      </c>
      <c r="N36" s="106" t="s">
        <v>262</v>
      </c>
      <c r="P36" s="106" t="s">
        <v>263</v>
      </c>
    </row>
    <row r="37" spans="2:16" x14ac:dyDescent="0.25">
      <c r="B37" s="106" t="s">
        <v>49</v>
      </c>
      <c r="E37" s="106" t="s">
        <v>50</v>
      </c>
      <c r="F37" s="106" t="s">
        <v>264</v>
      </c>
      <c r="H37" s="106" t="s">
        <v>265</v>
      </c>
      <c r="J37" s="106" t="s">
        <v>266</v>
      </c>
      <c r="L37" s="106" t="s">
        <v>267</v>
      </c>
      <c r="N37" s="106" t="s">
        <v>268</v>
      </c>
      <c r="P37" s="106" t="s">
        <v>269</v>
      </c>
    </row>
    <row r="38" spans="2:16" x14ac:dyDescent="0.25">
      <c r="B38" s="106" t="s">
        <v>51</v>
      </c>
      <c r="E38" s="106" t="s">
        <v>52</v>
      </c>
      <c r="F38" s="106" t="s">
        <v>270</v>
      </c>
      <c r="H38" s="106" t="s">
        <v>271</v>
      </c>
      <c r="J38" s="106" t="s">
        <v>272</v>
      </c>
      <c r="L38" s="106" t="s">
        <v>273</v>
      </c>
      <c r="M38" s="106" t="s">
        <v>274</v>
      </c>
      <c r="N38" s="106" t="s">
        <v>275</v>
      </c>
      <c r="P38" s="106" t="s">
        <v>276</v>
      </c>
    </row>
    <row r="39" spans="2:16" x14ac:dyDescent="0.25">
      <c r="B39" s="106" t="s">
        <v>53</v>
      </c>
      <c r="E39" s="106" t="s">
        <v>54</v>
      </c>
      <c r="F39" s="106" t="s">
        <v>277</v>
      </c>
      <c r="H39" s="106" t="s">
        <v>278</v>
      </c>
      <c r="J39" s="106" t="s">
        <v>279</v>
      </c>
      <c r="L39" s="106" t="s">
        <v>280</v>
      </c>
      <c r="N39" s="106" t="s">
        <v>281</v>
      </c>
      <c r="P39" s="106" t="s">
        <v>282</v>
      </c>
    </row>
    <row r="40" spans="2:16" x14ac:dyDescent="0.25">
      <c r="E40" s="106" t="s">
        <v>55</v>
      </c>
      <c r="F40" s="106" t="s">
        <v>283</v>
      </c>
      <c r="H40" s="106" t="s">
        <v>284</v>
      </c>
      <c r="J40" s="106" t="s">
        <v>285</v>
      </c>
      <c r="L40" s="106" t="s">
        <v>286</v>
      </c>
      <c r="N40" s="106" t="s">
        <v>287</v>
      </c>
      <c r="P40" s="106" t="s">
        <v>288</v>
      </c>
    </row>
    <row r="42" spans="2:16" x14ac:dyDescent="0.25">
      <c r="D42" s="106" t="s">
        <v>56</v>
      </c>
      <c r="F42" s="106" t="s">
        <v>289</v>
      </c>
      <c r="H42" s="106" t="s">
        <v>290</v>
      </c>
      <c r="J42" s="106" t="s">
        <v>291</v>
      </c>
      <c r="L42" s="106" t="s">
        <v>292</v>
      </c>
      <c r="M42" s="106" t="s">
        <v>293</v>
      </c>
    </row>
    <row r="44" spans="2:16" x14ac:dyDescent="0.25">
      <c r="B44" s="106" t="s">
        <v>57</v>
      </c>
      <c r="E44" s="106" t="s">
        <v>58</v>
      </c>
      <c r="F44" s="106" t="s">
        <v>294</v>
      </c>
      <c r="H44" s="106" t="s">
        <v>295</v>
      </c>
      <c r="J44" s="106" t="s">
        <v>296</v>
      </c>
      <c r="L44" s="106" t="s">
        <v>297</v>
      </c>
      <c r="N44" s="106" t="s">
        <v>298</v>
      </c>
      <c r="P44" s="106" t="s">
        <v>299</v>
      </c>
    </row>
    <row r="45" spans="2:16" x14ac:dyDescent="0.25">
      <c r="B45" s="106" t="s">
        <v>59</v>
      </c>
      <c r="E45" s="106" t="s">
        <v>60</v>
      </c>
      <c r="F45" s="106" t="s">
        <v>300</v>
      </c>
      <c r="H45" s="106" t="s">
        <v>301</v>
      </c>
      <c r="J45" s="106" t="s">
        <v>302</v>
      </c>
      <c r="L45" s="106" t="s">
        <v>303</v>
      </c>
      <c r="N45" s="106" t="s">
        <v>304</v>
      </c>
      <c r="P45" s="106" t="s">
        <v>305</v>
      </c>
    </row>
    <row r="46" spans="2:16" x14ac:dyDescent="0.25">
      <c r="E46" s="106" t="s">
        <v>61</v>
      </c>
      <c r="F46" s="106" t="s">
        <v>306</v>
      </c>
      <c r="H46" s="106" t="s">
        <v>307</v>
      </c>
      <c r="J46" s="106" t="s">
        <v>308</v>
      </c>
      <c r="L46" s="106" t="s">
        <v>309</v>
      </c>
      <c r="N46" s="106" t="s">
        <v>310</v>
      </c>
      <c r="P46" s="106" t="s">
        <v>311</v>
      </c>
    </row>
    <row r="48" spans="2:16" x14ac:dyDescent="0.25">
      <c r="D48" s="106" t="s">
        <v>62</v>
      </c>
      <c r="F48" s="106" t="s">
        <v>312</v>
      </c>
      <c r="H48" s="106" t="s">
        <v>313</v>
      </c>
      <c r="J48" s="106" t="s">
        <v>314</v>
      </c>
      <c r="L48" s="106" t="s">
        <v>315</v>
      </c>
      <c r="M48" s="106" t="s">
        <v>316</v>
      </c>
    </row>
    <row r="50" spans="2:16" x14ac:dyDescent="0.25">
      <c r="B50" s="106" t="s">
        <v>63</v>
      </c>
      <c r="E50" s="106" t="s">
        <v>64</v>
      </c>
      <c r="F50" s="106" t="s">
        <v>317</v>
      </c>
      <c r="H50" s="106" t="s">
        <v>318</v>
      </c>
      <c r="J50" s="106" t="s">
        <v>319</v>
      </c>
      <c r="L50" s="106" t="s">
        <v>320</v>
      </c>
      <c r="N50" s="106" t="s">
        <v>321</v>
      </c>
      <c r="P50" s="106" t="s">
        <v>322</v>
      </c>
    </row>
    <row r="51" spans="2:16" x14ac:dyDescent="0.25">
      <c r="L51" s="106" t="s">
        <v>323</v>
      </c>
    </row>
    <row r="52" spans="2:16" x14ac:dyDescent="0.25">
      <c r="D52" s="106" t="s">
        <v>65</v>
      </c>
      <c r="F52" s="106" t="s">
        <v>324</v>
      </c>
      <c r="H52" s="106" t="s">
        <v>325</v>
      </c>
      <c r="J52" s="106" t="s">
        <v>326</v>
      </c>
      <c r="L52" s="106" t="s">
        <v>327</v>
      </c>
      <c r="M52" s="106" t="s">
        <v>328</v>
      </c>
    </row>
    <row r="54" spans="2:16" x14ac:dyDescent="0.25">
      <c r="B54" s="106" t="s">
        <v>149</v>
      </c>
      <c r="E54" s="106" t="s">
        <v>66</v>
      </c>
      <c r="F54" s="106" t="s">
        <v>329</v>
      </c>
      <c r="H54" s="106" t="s">
        <v>330</v>
      </c>
      <c r="J54" s="106" t="s">
        <v>331</v>
      </c>
      <c r="L54" s="106" t="s">
        <v>332</v>
      </c>
    </row>
    <row r="56" spans="2:16" x14ac:dyDescent="0.25">
      <c r="D56" s="106" t="s">
        <v>67</v>
      </c>
      <c r="F56" s="106" t="s">
        <v>333</v>
      </c>
      <c r="H56" s="106" t="s">
        <v>334</v>
      </c>
      <c r="J56" s="106" t="s">
        <v>335</v>
      </c>
      <c r="L56" s="106" t="s">
        <v>336</v>
      </c>
      <c r="M56" s="106" t="s">
        <v>337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710</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710</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711</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711</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defaultRowHeight="15" x14ac:dyDescent="0.25"/>
  <sheetData>
    <row r="1" spans="1:10" x14ac:dyDescent="0.25">
      <c r="A1" s="106" t="s">
        <v>712</v>
      </c>
    </row>
    <row r="2" spans="1:10" x14ac:dyDescent="0.25">
      <c r="C2" s="106" t="s">
        <v>138</v>
      </c>
    </row>
    <row r="4" spans="1:10" x14ac:dyDescent="0.25">
      <c r="C4" s="106" t="s">
        <v>2</v>
      </c>
      <c r="D4" s="106" t="s">
        <v>136</v>
      </c>
      <c r="E4" s="106" t="s">
        <v>70</v>
      </c>
      <c r="F4" s="106" t="s">
        <v>115</v>
      </c>
      <c r="G4" s="106" t="s">
        <v>117</v>
      </c>
      <c r="H4" s="106" t="s">
        <v>10</v>
      </c>
      <c r="I4" s="106" t="s">
        <v>71</v>
      </c>
      <c r="J4" s="106" t="s">
        <v>116</v>
      </c>
    </row>
    <row r="5" spans="1:10" x14ac:dyDescent="0.25">
      <c r="C5" s="106" t="s">
        <v>350</v>
      </c>
      <c r="D5" s="106" t="s">
        <v>72</v>
      </c>
      <c r="E5" s="106" t="s">
        <v>606</v>
      </c>
      <c r="F5" s="106" t="s">
        <v>607</v>
      </c>
    </row>
    <row r="6" spans="1:10" x14ac:dyDescent="0.25">
      <c r="C6" s="106" t="s">
        <v>691</v>
      </c>
      <c r="D6" s="106" t="s">
        <v>79</v>
      </c>
      <c r="E6" s="106" t="s">
        <v>608</v>
      </c>
      <c r="F6" s="106" t="s">
        <v>609</v>
      </c>
      <c r="I6" s="106" t="s">
        <v>610</v>
      </c>
    </row>
    <row r="7" spans="1:10" x14ac:dyDescent="0.25">
      <c r="C7" s="106" t="s">
        <v>692</v>
      </c>
      <c r="D7" s="106" t="s">
        <v>82</v>
      </c>
      <c r="E7" s="106" t="s">
        <v>611</v>
      </c>
      <c r="F7" s="106" t="s">
        <v>612</v>
      </c>
    </row>
    <row r="8" spans="1:10" x14ac:dyDescent="0.25">
      <c r="C8" s="106" t="s">
        <v>351</v>
      </c>
      <c r="D8" s="106" t="s">
        <v>83</v>
      </c>
      <c r="E8" s="106" t="s">
        <v>613</v>
      </c>
      <c r="F8" s="106" t="s">
        <v>614</v>
      </c>
    </row>
    <row r="9" spans="1:10" x14ac:dyDescent="0.25">
      <c r="C9" s="106" t="s">
        <v>693</v>
      </c>
      <c r="D9" s="106" t="s">
        <v>95</v>
      </c>
      <c r="E9" s="106" t="s">
        <v>615</v>
      </c>
      <c r="F9" s="106" t="s">
        <v>616</v>
      </c>
    </row>
    <row r="10" spans="1:10" x14ac:dyDescent="0.25">
      <c r="C10" s="106" t="s">
        <v>602</v>
      </c>
      <c r="D10" s="106" t="s">
        <v>142</v>
      </c>
      <c r="E10" s="106" t="s">
        <v>617</v>
      </c>
      <c r="F10" s="106" t="s">
        <v>618</v>
      </c>
    </row>
    <row r="11" spans="1:10" x14ac:dyDescent="0.25">
      <c r="C11" s="106" t="s">
        <v>550</v>
      </c>
      <c r="D11" s="106" t="s">
        <v>118</v>
      </c>
      <c r="E11" s="106" t="s">
        <v>619</v>
      </c>
      <c r="F11" s="106" t="s">
        <v>620</v>
      </c>
      <c r="I11" s="106" t="s">
        <v>621</v>
      </c>
    </row>
    <row r="12" spans="1:10" x14ac:dyDescent="0.25">
      <c r="C12" s="106" t="s">
        <v>545</v>
      </c>
      <c r="D12" s="106" t="s">
        <v>119</v>
      </c>
      <c r="E12" s="106" t="s">
        <v>622</v>
      </c>
      <c r="F12" s="106" t="s">
        <v>623</v>
      </c>
    </row>
    <row r="13" spans="1:10" x14ac:dyDescent="0.25">
      <c r="C13" s="106" t="s">
        <v>570</v>
      </c>
      <c r="D13" s="106" t="s">
        <v>120</v>
      </c>
      <c r="E13" s="106" t="s">
        <v>624</v>
      </c>
      <c r="F13" s="106" t="s">
        <v>625</v>
      </c>
    </row>
    <row r="14" spans="1:10" x14ac:dyDescent="0.25">
      <c r="C14" s="106" t="s">
        <v>576</v>
      </c>
      <c r="D14" s="106" t="s">
        <v>121</v>
      </c>
      <c r="E14" s="106" t="s">
        <v>626</v>
      </c>
      <c r="F14" s="106" t="s">
        <v>627</v>
      </c>
    </row>
    <row r="16" spans="1:10"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defaultRowHeight="15" x14ac:dyDescent="0.25"/>
  <sheetData>
    <row r="1" spans="1:10" x14ac:dyDescent="0.25">
      <c r="A1" s="106" t="s">
        <v>712</v>
      </c>
    </row>
    <row r="2" spans="1:10" x14ac:dyDescent="0.25">
      <c r="C2" s="106" t="s">
        <v>138</v>
      </c>
    </row>
    <row r="4" spans="1:10" x14ac:dyDescent="0.25">
      <c r="C4" s="106" t="s">
        <v>2</v>
      </c>
      <c r="D4" s="106" t="s">
        <v>136</v>
      </c>
      <c r="E4" s="106" t="s">
        <v>70</v>
      </c>
      <c r="F4" s="106" t="s">
        <v>115</v>
      </c>
      <c r="G4" s="106" t="s">
        <v>117</v>
      </c>
      <c r="H4" s="106" t="s">
        <v>10</v>
      </c>
      <c r="I4" s="106" t="s">
        <v>71</v>
      </c>
      <c r="J4" s="106" t="s">
        <v>116</v>
      </c>
    </row>
    <row r="5" spans="1:10" x14ac:dyDescent="0.25">
      <c r="C5" s="106" t="s">
        <v>350</v>
      </c>
      <c r="D5" s="106" t="s">
        <v>72</v>
      </c>
      <c r="E5" s="106" t="s">
        <v>606</v>
      </c>
      <c r="F5" s="106" t="s">
        <v>607</v>
      </c>
    </row>
    <row r="6" spans="1:10" x14ac:dyDescent="0.25">
      <c r="C6" s="106" t="s">
        <v>691</v>
      </c>
      <c r="D6" s="106" t="s">
        <v>79</v>
      </c>
      <c r="E6" s="106" t="s">
        <v>608</v>
      </c>
      <c r="F6" s="106" t="s">
        <v>609</v>
      </c>
      <c r="I6" s="106" t="s">
        <v>610</v>
      </c>
    </row>
    <row r="7" spans="1:10" x14ac:dyDescent="0.25">
      <c r="C7" s="106" t="s">
        <v>692</v>
      </c>
      <c r="D7" s="106" t="s">
        <v>82</v>
      </c>
      <c r="E7" s="106" t="s">
        <v>611</v>
      </c>
      <c r="F7" s="106" t="s">
        <v>612</v>
      </c>
    </row>
    <row r="8" spans="1:10" x14ac:dyDescent="0.25">
      <c r="C8" s="106" t="s">
        <v>351</v>
      </c>
      <c r="D8" s="106" t="s">
        <v>83</v>
      </c>
      <c r="E8" s="106" t="s">
        <v>613</v>
      </c>
      <c r="F8" s="106" t="s">
        <v>614</v>
      </c>
    </row>
    <row r="9" spans="1:10" x14ac:dyDescent="0.25">
      <c r="C9" s="106" t="s">
        <v>693</v>
      </c>
      <c r="D9" s="106" t="s">
        <v>95</v>
      </c>
      <c r="E9" s="106" t="s">
        <v>615</v>
      </c>
      <c r="F9" s="106" t="s">
        <v>616</v>
      </c>
    </row>
    <row r="10" spans="1:10" x14ac:dyDescent="0.25">
      <c r="C10" s="106" t="s">
        <v>602</v>
      </c>
      <c r="D10" s="106" t="s">
        <v>142</v>
      </c>
      <c r="E10" s="106" t="s">
        <v>617</v>
      </c>
      <c r="F10" s="106" t="s">
        <v>618</v>
      </c>
    </row>
    <row r="11" spans="1:10" x14ac:dyDescent="0.25">
      <c r="C11" s="106" t="s">
        <v>550</v>
      </c>
      <c r="D11" s="106" t="s">
        <v>118</v>
      </c>
      <c r="E11" s="106" t="s">
        <v>619</v>
      </c>
      <c r="F11" s="106" t="s">
        <v>620</v>
      </c>
      <c r="I11" s="106" t="s">
        <v>621</v>
      </c>
    </row>
    <row r="12" spans="1:10" x14ac:dyDescent="0.25">
      <c r="C12" s="106" t="s">
        <v>545</v>
      </c>
      <c r="D12" s="106" t="s">
        <v>119</v>
      </c>
      <c r="E12" s="106" t="s">
        <v>622</v>
      </c>
      <c r="F12" s="106" t="s">
        <v>623</v>
      </c>
    </row>
    <row r="13" spans="1:10" x14ac:dyDescent="0.25">
      <c r="C13" s="106" t="s">
        <v>570</v>
      </c>
      <c r="D13" s="106" t="s">
        <v>120</v>
      </c>
      <c r="E13" s="106" t="s">
        <v>624</v>
      </c>
      <c r="F13" s="106" t="s">
        <v>625</v>
      </c>
    </row>
    <row r="14" spans="1:10" x14ac:dyDescent="0.25">
      <c r="C14" s="106" t="s">
        <v>576</v>
      </c>
      <c r="D14" s="106" t="s">
        <v>121</v>
      </c>
      <c r="E14" s="106" t="s">
        <v>626</v>
      </c>
      <c r="F14" s="106" t="s">
        <v>627</v>
      </c>
    </row>
    <row r="16" spans="1:10"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713</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714</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heetViews>
  <sheetFormatPr defaultRowHeight="15" x14ac:dyDescent="0.25"/>
  <sheetData>
    <row r="1" spans="1:10" x14ac:dyDescent="0.25">
      <c r="A1" s="106" t="s">
        <v>715</v>
      </c>
    </row>
    <row r="2" spans="1:10" x14ac:dyDescent="0.25">
      <c r="C2" s="106" t="s">
        <v>138</v>
      </c>
    </row>
    <row r="4" spans="1:10" x14ac:dyDescent="0.25">
      <c r="C4" s="106" t="s">
        <v>2</v>
      </c>
      <c r="D4" s="106" t="s">
        <v>136</v>
      </c>
      <c r="E4" s="106" t="s">
        <v>70</v>
      </c>
      <c r="F4" s="106" t="s">
        <v>115</v>
      </c>
      <c r="G4" s="106" t="s">
        <v>117</v>
      </c>
      <c r="H4" s="106" t="s">
        <v>10</v>
      </c>
      <c r="I4" s="106" t="s">
        <v>71</v>
      </c>
      <c r="J4" s="106" t="s">
        <v>116</v>
      </c>
    </row>
    <row r="5" spans="1:10" x14ac:dyDescent="0.25">
      <c r="C5" s="106" t="s">
        <v>350</v>
      </c>
      <c r="D5" s="106" t="s">
        <v>72</v>
      </c>
      <c r="E5" s="106" t="s">
        <v>606</v>
      </c>
      <c r="F5" s="106" t="s">
        <v>607</v>
      </c>
    </row>
    <row r="6" spans="1:10" x14ac:dyDescent="0.25">
      <c r="C6" s="106" t="s">
        <v>691</v>
      </c>
      <c r="D6" s="106" t="s">
        <v>79</v>
      </c>
      <c r="E6" s="106" t="s">
        <v>608</v>
      </c>
      <c r="F6" s="106" t="s">
        <v>609</v>
      </c>
      <c r="I6" s="106" t="s">
        <v>610</v>
      </c>
    </row>
    <row r="7" spans="1:10" x14ac:dyDescent="0.25">
      <c r="C7" s="106" t="s">
        <v>692</v>
      </c>
      <c r="D7" s="106" t="s">
        <v>82</v>
      </c>
      <c r="E7" s="106" t="s">
        <v>611</v>
      </c>
      <c r="F7" s="106" t="s">
        <v>612</v>
      </c>
    </row>
    <row r="8" spans="1:10" x14ac:dyDescent="0.25">
      <c r="C8" s="106" t="s">
        <v>351</v>
      </c>
      <c r="D8" s="106" t="s">
        <v>83</v>
      </c>
      <c r="E8" s="106" t="s">
        <v>613</v>
      </c>
      <c r="F8" s="106" t="s">
        <v>614</v>
      </c>
    </row>
    <row r="9" spans="1:10" x14ac:dyDescent="0.25">
      <c r="C9" s="106" t="s">
        <v>693</v>
      </c>
      <c r="D9" s="106" t="s">
        <v>95</v>
      </c>
      <c r="E9" s="106" t="s">
        <v>615</v>
      </c>
      <c r="F9" s="106" t="s">
        <v>616</v>
      </c>
    </row>
    <row r="10" spans="1:10" x14ac:dyDescent="0.25">
      <c r="C10" s="106" t="s">
        <v>602</v>
      </c>
      <c r="D10" s="106" t="s">
        <v>142</v>
      </c>
      <c r="E10" s="106" t="s">
        <v>617</v>
      </c>
      <c r="F10" s="106" t="s">
        <v>618</v>
      </c>
    </row>
    <row r="11" spans="1:10" x14ac:dyDescent="0.25">
      <c r="C11" s="106" t="s">
        <v>550</v>
      </c>
      <c r="D11" s="106" t="s">
        <v>118</v>
      </c>
      <c r="E11" s="106" t="s">
        <v>619</v>
      </c>
      <c r="F11" s="106" t="s">
        <v>620</v>
      </c>
      <c r="I11" s="106" t="s">
        <v>621</v>
      </c>
    </row>
    <row r="12" spans="1:10" x14ac:dyDescent="0.25">
      <c r="C12" s="106" t="s">
        <v>545</v>
      </c>
      <c r="D12" s="106" t="s">
        <v>119</v>
      </c>
      <c r="E12" s="106" t="s">
        <v>622</v>
      </c>
      <c r="F12" s="106" t="s">
        <v>623</v>
      </c>
    </row>
    <row r="13" spans="1:10" x14ac:dyDescent="0.25">
      <c r="C13" s="106" t="s">
        <v>570</v>
      </c>
      <c r="D13" s="106" t="s">
        <v>120</v>
      </c>
      <c r="E13" s="106" t="s">
        <v>624</v>
      </c>
      <c r="F13" s="106" t="s">
        <v>625</v>
      </c>
    </row>
    <row r="14" spans="1:10" x14ac:dyDescent="0.25">
      <c r="C14" s="106" t="s">
        <v>576</v>
      </c>
      <c r="D14" s="106" t="s">
        <v>121</v>
      </c>
      <c r="E14" s="106" t="s">
        <v>626</v>
      </c>
      <c r="F14" s="106" t="s">
        <v>627</v>
      </c>
    </row>
    <row r="16" spans="1:10"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RowHeight="15" x14ac:dyDescent="0.25"/>
  <cols>
    <col min="1" max="1" width="9.140625" hidden="1" customWidth="1"/>
    <col min="3" max="3" width="13.140625" customWidth="1"/>
    <col min="4" max="4" width="18" customWidth="1"/>
    <col min="7" max="7" width="23.85546875" customWidth="1"/>
    <col min="8" max="8" width="22" customWidth="1"/>
    <col min="9" max="9" width="20.28515625" customWidth="1"/>
  </cols>
  <sheetData>
    <row r="1" spans="1:9" hidden="1" x14ac:dyDescent="0.25">
      <c r="A1" t="s">
        <v>830</v>
      </c>
      <c r="C1" t="s">
        <v>132</v>
      </c>
      <c r="D1" t="s">
        <v>133</v>
      </c>
      <c r="E1" t="s">
        <v>724</v>
      </c>
      <c r="F1" t="s">
        <v>754</v>
      </c>
    </row>
    <row r="3" spans="1:9" x14ac:dyDescent="0.25">
      <c r="C3" s="95" t="s">
        <v>135</v>
      </c>
      <c r="D3" s="96" t="s">
        <v>133</v>
      </c>
    </row>
    <row r="4" spans="1:9" x14ac:dyDescent="0.25">
      <c r="A4" t="s">
        <v>134</v>
      </c>
      <c r="C4" s="87" t="s">
        <v>108</v>
      </c>
      <c r="D4" s="245" t="str">
        <f>"2018"</f>
        <v>2018</v>
      </c>
      <c r="E4" t="str">
        <f>"Lookup"</f>
        <v>Lookup</v>
      </c>
      <c r="G4" t="s">
        <v>143</v>
      </c>
      <c r="H4" s="244" t="str">
        <f>"1/1/2018..12/12/2018"</f>
        <v>1/1/2018..12/12/2018</v>
      </c>
    </row>
    <row r="5" spans="1:9" x14ac:dyDescent="0.25">
      <c r="A5" t="s">
        <v>134</v>
      </c>
      <c r="C5" s="87" t="s">
        <v>110</v>
      </c>
      <c r="D5" s="246" t="str">
        <f>"1/1/2018"</f>
        <v>1/1/2018</v>
      </c>
      <c r="F5" t="s">
        <v>755</v>
      </c>
      <c r="G5" t="s">
        <v>130</v>
      </c>
      <c r="H5" s="248">
        <f>End_Date-Start_Date+1</f>
        <v>346</v>
      </c>
    </row>
    <row r="6" spans="1:9" x14ac:dyDescent="0.25">
      <c r="A6" t="s">
        <v>134</v>
      </c>
      <c r="C6" s="88" t="s">
        <v>111</v>
      </c>
      <c r="D6" s="247" t="str">
        <f>"12/12/2018"</f>
        <v>12/12/2018</v>
      </c>
      <c r="F6" t="s">
        <v>755</v>
      </c>
    </row>
    <row r="8" spans="1:9" x14ac:dyDescent="0.25">
      <c r="G8" s="1"/>
      <c r="I8" s="1"/>
    </row>
    <row r="9" spans="1:9" x14ac:dyDescent="0.25">
      <c r="G9" s="1"/>
    </row>
    <row r="11" spans="1:9" ht="15" customHeight="1" x14ac:dyDescent="0.25">
      <c r="C11" s="251" t="s">
        <v>717</v>
      </c>
      <c r="D11" s="251"/>
      <c r="E11" s="251"/>
      <c r="F11" s="250"/>
    </row>
    <row r="12" spans="1:9" x14ac:dyDescent="0.25">
      <c r="C12" s="251"/>
      <c r="D12" s="251"/>
      <c r="E12" s="251"/>
      <c r="F12" s="250"/>
    </row>
    <row r="13" spans="1:9" x14ac:dyDescent="0.25">
      <c r="C13" s="251"/>
      <c r="D13" s="251"/>
      <c r="E13" s="251"/>
      <c r="F13" s="250"/>
    </row>
    <row r="14" spans="1:9" x14ac:dyDescent="0.25">
      <c r="C14" s="251"/>
      <c r="D14" s="251"/>
      <c r="E14" s="251"/>
      <c r="F14" s="250"/>
    </row>
    <row r="15" spans="1:9" x14ac:dyDescent="0.25">
      <c r="C15" s="251"/>
      <c r="D15" s="251"/>
      <c r="E15" s="251"/>
      <c r="F15" s="250"/>
    </row>
    <row r="16" spans="1:9" x14ac:dyDescent="0.25">
      <c r="C16" s="251"/>
      <c r="D16" s="251"/>
      <c r="E16" s="251"/>
      <c r="F16" s="250"/>
    </row>
    <row r="17" spans="10:11" x14ac:dyDescent="0.25">
      <c r="J17" s="1"/>
    </row>
    <row r="18" spans="10:11" x14ac:dyDescent="0.25">
      <c r="K18" s="1"/>
    </row>
  </sheetData>
  <mergeCells count="1">
    <mergeCell ref="C11:E16"/>
  </mergeCell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718</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718</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719</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719</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720</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721</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722</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723</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725</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725</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62"/>
  <sheetViews>
    <sheetView showGridLines="0" zoomScale="90" zoomScaleNormal="90" workbookViewId="0"/>
  </sheetViews>
  <sheetFormatPr defaultColWidth="9.140625" defaultRowHeight="15" outlineLevelRow="2" x14ac:dyDescent="0.2"/>
  <cols>
    <col min="1" max="1" width="9.140625" style="69" hidden="1" customWidth="1"/>
    <col min="2" max="2" width="4.7109375" style="70" customWidth="1"/>
    <col min="3" max="3" width="53.85546875" style="70" customWidth="1"/>
    <col min="4" max="4" width="32.28515625" style="70" customWidth="1"/>
    <col min="5" max="5" width="13.7109375" style="70" customWidth="1"/>
    <col min="6" max="6" width="3.28515625" style="70" customWidth="1"/>
    <col min="7" max="7" width="9.140625" style="75"/>
    <col min="8" max="8" width="56.28515625" style="70" customWidth="1"/>
    <col min="9" max="9" width="33.85546875" style="70" customWidth="1"/>
    <col min="10" max="16384" width="9.140625" style="70"/>
  </cols>
  <sheetData>
    <row r="1" spans="1:9" s="69" customFormat="1" hidden="1" x14ac:dyDescent="0.2">
      <c r="A1" s="216" t="s">
        <v>5</v>
      </c>
    </row>
    <row r="3" spans="1:9" ht="20.25" x14ac:dyDescent="0.3">
      <c r="C3" s="71" t="s">
        <v>86</v>
      </c>
      <c r="D3" s="72"/>
      <c r="E3" s="72"/>
      <c r="F3" s="73"/>
      <c r="G3" s="72"/>
      <c r="H3" s="73"/>
      <c r="I3" s="73"/>
    </row>
    <row r="5" spans="1:9" ht="15.75" x14ac:dyDescent="0.25">
      <c r="C5" s="74"/>
    </row>
    <row r="6" spans="1:9" ht="15.75" x14ac:dyDescent="0.25">
      <c r="C6" s="74" t="str">
        <f>Date_Filter</f>
        <v>1/1/2018..12/12/2018</v>
      </c>
    </row>
    <row r="7" spans="1:9" ht="15.75" x14ac:dyDescent="0.25">
      <c r="C7" s="76"/>
    </row>
    <row r="9" spans="1:9" ht="15.75" x14ac:dyDescent="0.25">
      <c r="C9" s="77" t="s">
        <v>87</v>
      </c>
      <c r="D9" s="77"/>
      <c r="E9" s="78" t="s">
        <v>88</v>
      </c>
      <c r="F9" s="77"/>
      <c r="G9" s="74"/>
      <c r="H9" s="79" t="s">
        <v>89</v>
      </c>
      <c r="I9" s="79"/>
    </row>
    <row r="10" spans="1:9" ht="15.75" x14ac:dyDescent="0.25">
      <c r="C10" s="141" t="s">
        <v>90</v>
      </c>
      <c r="D10" s="146">
        <f>Net_Income</f>
        <v>690292.96999999974</v>
      </c>
      <c r="E10" s="147">
        <f>Budgeted_Revenue</f>
        <v>975039.03</v>
      </c>
      <c r="F10" s="147">
        <f>D10-E10</f>
        <v>-284746.06000000029</v>
      </c>
      <c r="G10" s="80"/>
      <c r="H10" s="163" t="s">
        <v>79</v>
      </c>
      <c r="I10" s="172">
        <f>Fixed_Assets</f>
        <v>0</v>
      </c>
    </row>
    <row r="11" spans="1:9" ht="15.75" collapsed="1" x14ac:dyDescent="0.25">
      <c r="C11" s="141" t="s">
        <v>91</v>
      </c>
      <c r="D11" s="148">
        <f>Gross_Profit/Net_Sales</f>
        <v>0.46970710088472445</v>
      </c>
      <c r="E11" s="149">
        <f>Budgeted_Gross_Profit/Budgeted_Net_Sales</f>
        <v>0.44855689627877116</v>
      </c>
      <c r="F11" s="147">
        <f>D11-E11</f>
        <v>2.1150204605953293E-2</v>
      </c>
      <c r="G11" s="80"/>
      <c r="H11" s="164" t="s">
        <v>72</v>
      </c>
      <c r="I11" s="173">
        <f>Current_Assets</f>
        <v>62673457.200000003</v>
      </c>
    </row>
    <row r="12" spans="1:9" ht="30" hidden="1" outlineLevel="1" x14ac:dyDescent="0.25">
      <c r="C12" s="142" t="s">
        <v>352</v>
      </c>
      <c r="D12" s="150" t="s">
        <v>366</v>
      </c>
      <c r="E12" s="151"/>
      <c r="F12" s="141"/>
      <c r="G12" s="80"/>
      <c r="H12" s="165"/>
      <c r="I12" s="174"/>
    </row>
    <row r="13" spans="1:9" ht="15.75" collapsed="1" x14ac:dyDescent="0.25">
      <c r="C13" s="141" t="s">
        <v>92</v>
      </c>
      <c r="D13" s="152">
        <f>Net_Income/Net_Sales</f>
        <v>3.6690385576199303E-2</v>
      </c>
      <c r="E13" s="153">
        <f>Budgeted_Revenue/Budgeted_Net_Sales</f>
        <v>4.8740475555030568E-2</v>
      </c>
      <c r="F13" s="147">
        <f>D13-E13</f>
        <v>-1.2050089978831266E-2</v>
      </c>
      <c r="H13" s="166" t="s">
        <v>93</v>
      </c>
      <c r="I13" s="174">
        <f>I10+I11</f>
        <v>62673457.200000003</v>
      </c>
    </row>
    <row r="14" spans="1:9" ht="30" hidden="1" outlineLevel="1" x14ac:dyDescent="0.25">
      <c r="C14" s="142" t="s">
        <v>353</v>
      </c>
      <c r="D14" s="150" t="s">
        <v>366</v>
      </c>
      <c r="E14" s="151"/>
      <c r="F14" s="141"/>
      <c r="H14" s="166"/>
      <c r="I14" s="174"/>
    </row>
    <row r="15" spans="1:9" ht="15.75" collapsed="1" x14ac:dyDescent="0.25">
      <c r="C15" s="141" t="s">
        <v>354</v>
      </c>
      <c r="D15" s="152">
        <f>EAT_Annualized/Total_Assets_Average</f>
        <v>1.2685801691932544E-2</v>
      </c>
      <c r="E15" s="152"/>
      <c r="F15" s="147" t="s">
        <v>367</v>
      </c>
      <c r="H15" s="166"/>
      <c r="I15" s="174"/>
    </row>
    <row r="16" spans="1:9" ht="45" hidden="1" outlineLevel="1" x14ac:dyDescent="0.25">
      <c r="C16" s="142" t="s">
        <v>355</v>
      </c>
      <c r="D16" s="154" t="s">
        <v>368</v>
      </c>
      <c r="E16" s="155"/>
      <c r="F16" s="141"/>
      <c r="H16" s="166"/>
      <c r="I16" s="174"/>
    </row>
    <row r="17" spans="3:10" ht="15.75" collapsed="1" x14ac:dyDescent="0.25">
      <c r="C17" s="141" t="s">
        <v>356</v>
      </c>
      <c r="D17" s="152">
        <f>(EAT_Annualized/Total_Equity)</f>
        <v>7.2397796057482006E-2</v>
      </c>
      <c r="E17" s="152"/>
      <c r="F17" s="147" t="s">
        <v>367</v>
      </c>
      <c r="H17" s="163" t="s">
        <v>82</v>
      </c>
      <c r="I17" s="172">
        <f>Current_Liabilities</f>
        <v>52615150.579999998</v>
      </c>
    </row>
    <row r="18" spans="3:10" ht="30" hidden="1" outlineLevel="1" x14ac:dyDescent="0.25">
      <c r="C18" s="142" t="s">
        <v>357</v>
      </c>
      <c r="D18" s="154" t="s">
        <v>369</v>
      </c>
      <c r="E18" s="155"/>
      <c r="F18" s="141"/>
      <c r="H18" s="166"/>
      <c r="I18" s="174"/>
    </row>
    <row r="19" spans="3:10" ht="15.75" collapsed="1" x14ac:dyDescent="0.25">
      <c r="C19" s="141" t="s">
        <v>358</v>
      </c>
      <c r="D19" s="152">
        <f>Net_Income_Annualized/(Average_Total_Long_Term_Liabilities+Total_Equity_Average)</f>
        <v>7.6572872645767176E-2</v>
      </c>
      <c r="E19" s="152"/>
      <c r="F19" s="141"/>
      <c r="H19" s="163" t="s">
        <v>94</v>
      </c>
      <c r="I19" s="172">
        <f>Long_Term_Liabilities</f>
        <v>0</v>
      </c>
    </row>
    <row r="20" spans="3:10" ht="60" hidden="1" outlineLevel="1" x14ac:dyDescent="0.25">
      <c r="C20" s="142" t="s">
        <v>359</v>
      </c>
      <c r="D20" s="154" t="s">
        <v>369</v>
      </c>
      <c r="E20" s="155"/>
      <c r="F20" s="141"/>
      <c r="G20" s="74"/>
      <c r="H20" s="163"/>
      <c r="I20" s="172"/>
    </row>
    <row r="21" spans="3:10" ht="15.75" x14ac:dyDescent="0.25">
      <c r="C21" s="141"/>
      <c r="D21" s="156"/>
      <c r="E21" s="156"/>
      <c r="F21" s="141"/>
      <c r="H21" s="164" t="s">
        <v>95</v>
      </c>
      <c r="I21" s="173">
        <f>Total_Equity</f>
        <v>10058306.620000001</v>
      </c>
    </row>
    <row r="22" spans="3:10" ht="15.75" x14ac:dyDescent="0.25">
      <c r="C22" s="143"/>
      <c r="D22" s="157"/>
      <c r="E22" s="157"/>
      <c r="F22" s="143"/>
      <c r="H22" s="166" t="s">
        <v>96</v>
      </c>
      <c r="I22" s="174">
        <f>Current_Liabilities+Long_Term_Liabilities+Total_Equity</f>
        <v>62673457.200000003</v>
      </c>
    </row>
    <row r="23" spans="3:10" ht="15.75" x14ac:dyDescent="0.25">
      <c r="C23" s="143"/>
      <c r="D23" s="143"/>
      <c r="E23" s="143"/>
      <c r="F23" s="143"/>
      <c r="H23" s="163"/>
      <c r="I23" s="172"/>
      <c r="J23" s="82"/>
    </row>
    <row r="24" spans="3:10" ht="15.75" x14ac:dyDescent="0.25">
      <c r="C24" s="143"/>
      <c r="D24" s="143"/>
      <c r="E24" s="143"/>
      <c r="F24" s="143"/>
      <c r="H24" s="163" t="s">
        <v>97</v>
      </c>
      <c r="I24" s="172">
        <f>Total_Equity+Long_Term_Liabilities</f>
        <v>10058306.620000001</v>
      </c>
    </row>
    <row r="25" spans="3:10" ht="15.75" x14ac:dyDescent="0.25">
      <c r="C25" s="212" t="s">
        <v>98</v>
      </c>
      <c r="D25" s="81"/>
      <c r="E25" s="81"/>
      <c r="F25" s="81"/>
      <c r="G25" s="74"/>
      <c r="H25" s="163" t="s">
        <v>99</v>
      </c>
      <c r="I25" s="172">
        <f>Current_Assets-Current_Liabilities</f>
        <v>10058306.620000005</v>
      </c>
    </row>
    <row r="26" spans="3:10" ht="15.75" collapsed="1" x14ac:dyDescent="0.25">
      <c r="C26" s="144" t="s">
        <v>100</v>
      </c>
      <c r="D26" s="158">
        <f>Current_Assets/Current_Liabilities</f>
        <v>1.1911674966074002</v>
      </c>
      <c r="E26" s="158"/>
      <c r="F26" s="144"/>
    </row>
    <row r="27" spans="3:10" ht="45" hidden="1" outlineLevel="1" x14ac:dyDescent="0.2">
      <c r="C27" s="145" t="s">
        <v>360</v>
      </c>
      <c r="D27" s="159" t="s">
        <v>366</v>
      </c>
      <c r="E27" s="160"/>
      <c r="F27" s="144"/>
    </row>
    <row r="28" spans="3:10" ht="15.75" collapsed="1" x14ac:dyDescent="0.25">
      <c r="C28" s="144" t="s">
        <v>101</v>
      </c>
      <c r="D28" s="158">
        <f>(Current_Assets-Inventory)/Current_Liabilities</f>
        <v>0.97670404785525955</v>
      </c>
      <c r="E28" s="158"/>
      <c r="F28" s="144"/>
    </row>
    <row r="29" spans="3:10" ht="60" hidden="1" outlineLevel="1" x14ac:dyDescent="0.2">
      <c r="C29" s="145" t="s">
        <v>361</v>
      </c>
      <c r="D29" s="159" t="s">
        <v>366</v>
      </c>
      <c r="E29" s="160"/>
      <c r="F29" s="144"/>
    </row>
    <row r="30" spans="3:10" ht="15.75" collapsed="1" x14ac:dyDescent="0.25">
      <c r="C30" s="144" t="s">
        <v>362</v>
      </c>
      <c r="D30" s="161">
        <f>Inventory_Days+DSO-Accounts_Payable_Days</f>
        <v>-692.39598311220107</v>
      </c>
      <c r="E30" s="160"/>
      <c r="F30" s="161">
        <f>D32-D30</f>
        <v>877.37386178519068</v>
      </c>
    </row>
    <row r="31" spans="3:10" ht="75" hidden="1" outlineLevel="1" x14ac:dyDescent="0.2">
      <c r="C31" s="145" t="s">
        <v>363</v>
      </c>
      <c r="D31" s="159" t="s">
        <v>370</v>
      </c>
      <c r="E31" s="160"/>
      <c r="F31" s="144"/>
    </row>
    <row r="32" spans="3:10" ht="15.75" collapsed="1" x14ac:dyDescent="0.25">
      <c r="C32" s="144" t="s">
        <v>364</v>
      </c>
      <c r="D32" s="161">
        <f>Working_Capital*365/Revenue_Annualized</f>
        <v>184.97787867298959</v>
      </c>
      <c r="E32" s="161"/>
      <c r="F32" s="144"/>
      <c r="G32" s="74"/>
    </row>
    <row r="33" spans="3:9" ht="60" hidden="1" outlineLevel="1" x14ac:dyDescent="0.2">
      <c r="C33" s="145" t="s">
        <v>365</v>
      </c>
      <c r="D33" s="162" t="s">
        <v>371</v>
      </c>
      <c r="E33" s="160"/>
      <c r="F33" s="144"/>
    </row>
    <row r="35" spans="3:9" ht="15.75" x14ac:dyDescent="0.25">
      <c r="C35" s="79" t="s">
        <v>375</v>
      </c>
      <c r="D35" s="79"/>
      <c r="E35" s="79"/>
      <c r="F35" s="79"/>
      <c r="H35" s="83" t="s">
        <v>102</v>
      </c>
      <c r="I35" s="83"/>
    </row>
    <row r="36" spans="3:9" ht="15.75" collapsed="1" x14ac:dyDescent="0.25">
      <c r="C36" s="163" t="s">
        <v>376</v>
      </c>
      <c r="D36" s="185" t="e">
        <f>-EBIT/Interest_Expense</f>
        <v>#DIV/0!</v>
      </c>
      <c r="E36" s="185"/>
      <c r="F36" s="163"/>
      <c r="H36" s="167" t="s">
        <v>103</v>
      </c>
      <c r="I36" s="175">
        <f>Accounts_Receivable*365/Revenue_Annualized</f>
        <v>740.96747225307968</v>
      </c>
    </row>
    <row r="37" spans="3:9" ht="45" hidden="1" outlineLevel="1" x14ac:dyDescent="0.2">
      <c r="C37" s="180" t="s">
        <v>377</v>
      </c>
      <c r="D37" s="186" t="s">
        <v>366</v>
      </c>
      <c r="E37" s="187"/>
      <c r="F37" s="163"/>
      <c r="H37" s="168" t="s">
        <v>372</v>
      </c>
      <c r="I37" s="176" t="s">
        <v>373</v>
      </c>
    </row>
    <row r="38" spans="3:9" ht="15.75" collapsed="1" x14ac:dyDescent="0.25">
      <c r="C38" s="163" t="s">
        <v>378</v>
      </c>
      <c r="D38" s="188">
        <f>Total_Liabilities/Total_Assets</f>
        <v>0.83951249748513945</v>
      </c>
      <c r="E38" s="189"/>
      <c r="F38" s="163"/>
      <c r="H38" s="167" t="s">
        <v>104</v>
      </c>
      <c r="I38" s="175">
        <f>-Accounts_Payable*365/COGS_Annual</f>
        <v>1824.6935207385577</v>
      </c>
    </row>
    <row r="39" spans="3:9" ht="45" hidden="1" outlineLevel="1" x14ac:dyDescent="0.2">
      <c r="C39" s="180" t="s">
        <v>379</v>
      </c>
      <c r="D39" s="190" t="s">
        <v>395</v>
      </c>
      <c r="E39" s="187"/>
      <c r="F39" s="163"/>
      <c r="H39" s="169"/>
      <c r="I39" s="177"/>
    </row>
    <row r="40" spans="3:9" ht="15.75" collapsed="1" x14ac:dyDescent="0.25">
      <c r="C40" s="163" t="s">
        <v>380</v>
      </c>
      <c r="D40" s="188">
        <f>Total_Liabilities/Total_Equity</f>
        <v>5.2310147789071868</v>
      </c>
      <c r="E40" s="187"/>
      <c r="F40" s="163"/>
      <c r="H40" s="167" t="s">
        <v>105</v>
      </c>
      <c r="I40" s="175">
        <f>-Inventory*365/COGS_Annual</f>
        <v>391.33006537327697</v>
      </c>
    </row>
    <row r="41" spans="3:9" ht="45" hidden="1" outlineLevel="1" x14ac:dyDescent="0.2">
      <c r="C41" s="180" t="s">
        <v>381</v>
      </c>
      <c r="D41" s="190" t="s">
        <v>395</v>
      </c>
      <c r="E41" s="187"/>
      <c r="F41" s="163"/>
      <c r="H41" s="168"/>
      <c r="I41" s="176" t="s">
        <v>373</v>
      </c>
    </row>
    <row r="42" spans="3:9" ht="15.75" collapsed="1" x14ac:dyDescent="0.25">
      <c r="C42" s="163" t="s">
        <v>382</v>
      </c>
      <c r="D42" s="188">
        <f>Long_Term_Liabilities/(Long_Term_Liabilities+Total_Equity)</f>
        <v>0</v>
      </c>
      <c r="E42" s="187"/>
      <c r="F42" s="163"/>
    </row>
    <row r="43" spans="3:9" ht="45" hidden="1" outlineLevel="1" x14ac:dyDescent="0.2">
      <c r="C43" s="180" t="s">
        <v>383</v>
      </c>
      <c r="D43" s="190" t="s">
        <v>395</v>
      </c>
      <c r="E43" s="187"/>
      <c r="F43" s="163"/>
    </row>
    <row r="44" spans="3:9" x14ac:dyDescent="0.2">
      <c r="C44" s="181"/>
      <c r="D44" s="191"/>
      <c r="E44" s="191"/>
      <c r="F44" s="143"/>
    </row>
    <row r="45" spans="3:9" x14ac:dyDescent="0.2">
      <c r="C45" s="143"/>
      <c r="D45" s="143"/>
      <c r="E45" s="143"/>
      <c r="F45" s="143"/>
    </row>
    <row r="46" spans="3:9" ht="15.75" x14ac:dyDescent="0.25">
      <c r="C46" s="182" t="s">
        <v>384</v>
      </c>
      <c r="D46" s="182"/>
      <c r="E46" s="182"/>
      <c r="F46" s="182"/>
      <c r="H46" s="84" t="s">
        <v>106</v>
      </c>
      <c r="I46" s="84"/>
    </row>
    <row r="47" spans="3:9" ht="15.75" collapsed="1" x14ac:dyDescent="0.25">
      <c r="C47" s="183" t="s">
        <v>385</v>
      </c>
      <c r="D47" s="192">
        <f>Revenue_Annualized/Working_Capital</f>
        <v>1.9732089189175959</v>
      </c>
      <c r="E47" s="192"/>
      <c r="F47" s="183"/>
      <c r="H47" s="170" t="s">
        <v>107</v>
      </c>
      <c r="I47" s="178">
        <f>(EBT-EAT)/EBT</f>
        <v>0</v>
      </c>
    </row>
    <row r="48" spans="3:9" ht="45" hidden="1" outlineLevel="1" x14ac:dyDescent="0.2">
      <c r="C48" s="184" t="s">
        <v>386</v>
      </c>
      <c r="D48" s="193" t="s">
        <v>366</v>
      </c>
      <c r="E48" s="194"/>
      <c r="F48" s="183"/>
      <c r="H48" s="171"/>
      <c r="I48" s="179" t="s">
        <v>374</v>
      </c>
    </row>
    <row r="49" spans="3:8" ht="15.75" collapsed="1" x14ac:dyDescent="0.25">
      <c r="C49" s="183" t="s">
        <v>387</v>
      </c>
      <c r="D49" s="192" t="e">
        <f>Revenue_Annualized/Fixed_Assets_Average</f>
        <v>#DIV/0!</v>
      </c>
      <c r="E49" s="195"/>
      <c r="F49" s="183"/>
      <c r="H49" s="143"/>
    </row>
    <row r="50" spans="3:8" ht="45" hidden="1" outlineLevel="1" x14ac:dyDescent="0.2">
      <c r="C50" s="184" t="s">
        <v>388</v>
      </c>
      <c r="D50" s="196" t="s">
        <v>368</v>
      </c>
      <c r="E50" s="194"/>
      <c r="F50" s="183"/>
      <c r="H50" s="143"/>
    </row>
    <row r="51" spans="3:8" ht="15.75" collapsed="1" x14ac:dyDescent="0.25">
      <c r="C51" s="183" t="s">
        <v>389</v>
      </c>
      <c r="D51" s="192">
        <f>Revenue_Annualized/Total_Assets_Average</f>
        <v>0.34575274946583556</v>
      </c>
      <c r="E51" s="195"/>
      <c r="F51" s="183"/>
      <c r="H51" s="143"/>
    </row>
    <row r="52" spans="3:8" hidden="1" outlineLevel="2" x14ac:dyDescent="0.2">
      <c r="C52" s="184"/>
      <c r="D52" s="193" t="s">
        <v>366</v>
      </c>
      <c r="E52" s="194"/>
      <c r="F52" s="183"/>
      <c r="H52" s="143"/>
    </row>
    <row r="53" spans="3:8" ht="15.75" collapsed="1" x14ac:dyDescent="0.25">
      <c r="C53" s="183" t="s">
        <v>390</v>
      </c>
      <c r="D53" s="197">
        <f>-(Operating_Expenses-Depreciation)/Net_Sales</f>
        <v>0.43301671530852515</v>
      </c>
      <c r="E53" s="198">
        <f>-(Budgeted_Operating_Expenses-Budgeted_Depreciation)/Budgeted_Net_Sales</f>
        <v>0.39981642022385827</v>
      </c>
      <c r="F53" s="199">
        <f>E53-D53</f>
        <v>-3.3200295084666875E-2</v>
      </c>
      <c r="H53" s="143"/>
    </row>
    <row r="54" spans="3:8" ht="30" hidden="1" outlineLevel="1" x14ac:dyDescent="0.2">
      <c r="C54" s="184" t="s">
        <v>391</v>
      </c>
      <c r="D54" s="193" t="s">
        <v>396</v>
      </c>
      <c r="E54" s="183"/>
      <c r="F54" s="183"/>
      <c r="H54" s="143"/>
    </row>
    <row r="55" spans="3:8" ht="15.75" collapsed="1" x14ac:dyDescent="0.25">
      <c r="C55" s="183" t="s">
        <v>392</v>
      </c>
      <c r="D55" s="200">
        <f>-(Depreciation)/Net_Sales</f>
        <v>0</v>
      </c>
      <c r="E55" s="201">
        <f>-(Budgeted_Depreciation)/Budgeted_Net_Sales</f>
        <v>0</v>
      </c>
      <c r="F55" s="202">
        <f>E55-D55</f>
        <v>0</v>
      </c>
    </row>
    <row r="56" spans="3:8" ht="30" hidden="1" outlineLevel="1" x14ac:dyDescent="0.2">
      <c r="C56" s="184" t="s">
        <v>393</v>
      </c>
      <c r="D56" s="193" t="s">
        <v>396</v>
      </c>
      <c r="E56" s="183"/>
      <c r="F56" s="183"/>
    </row>
    <row r="57" spans="3:8" ht="15.75" collapsed="1" x14ac:dyDescent="0.25">
      <c r="C57" s="183" t="s">
        <v>394</v>
      </c>
      <c r="D57" s="200">
        <f>-(Interest)/Net_Sales</f>
        <v>0</v>
      </c>
      <c r="E57" s="201">
        <f>-(Budgeted_Interest)/Budgeted_Net_Sales</f>
        <v>4.9988230271182648E-10</v>
      </c>
      <c r="F57" s="202">
        <f>E57-D57</f>
        <v>4.9988230271182648E-10</v>
      </c>
    </row>
    <row r="58" spans="3:8" ht="30" hidden="1" outlineLevel="1" x14ac:dyDescent="0.2">
      <c r="C58" s="184" t="s">
        <v>393</v>
      </c>
      <c r="D58" s="193" t="s">
        <v>396</v>
      </c>
      <c r="E58" s="183"/>
      <c r="F58" s="183"/>
    </row>
    <row r="62" spans="3:8" x14ac:dyDescent="0.2">
      <c r="C62" s="203" t="s">
        <v>694</v>
      </c>
    </row>
  </sheetData>
  <conditionalFormatting sqref="F26:F29 F31:F33 F10:F24">
    <cfRule type="iconSet" priority="3">
      <iconSet showValue="0">
        <cfvo type="percent" val="0"/>
        <cfvo type="num" val="0"/>
        <cfvo type="num" val="0" gte="0"/>
      </iconSet>
    </cfRule>
  </conditionalFormatting>
  <conditionalFormatting sqref="F30">
    <cfRule type="iconSet" priority="2">
      <iconSet iconSet="3Flags" showValue="0">
        <cfvo type="percent" val="0"/>
        <cfvo type="num" val="0"/>
        <cfvo type="num" val="0" gte="0"/>
      </iconSet>
    </cfRule>
  </conditionalFormatting>
  <conditionalFormatting sqref="F28:F34 G33:G70 G26:G31 F21:F26 G21:G24 F16:F19 F10:G12 G13:G19 F13:F14 F59:F62">
    <cfRule type="iconSet" priority="9">
      <iconSet showValue="0">
        <cfvo type="percent" val="0"/>
        <cfvo type="num" val="0"/>
        <cfvo type="num" val="0" gte="0"/>
      </iconSet>
    </cfRule>
  </conditionalFormatting>
  <conditionalFormatting sqref="F47:F58 F36:F45">
    <cfRule type="iconSet" priority="1">
      <iconSet showValue="0">
        <cfvo type="percent" val="0"/>
        <cfvo type="num" val="0"/>
        <cfvo type="num" val="0" gte="0"/>
      </iconSet>
    </cfRule>
  </conditionalFormatting>
  <pageMargins left="0.7" right="0.7" top="0.75" bottom="0.75" header="0.3" footer="0.3"/>
  <pageSetup scale="56"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726</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727</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727</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728</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729</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730</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731</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731</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732</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732</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zoomScale="80" zoomScaleNormal="80" workbookViewId="0"/>
  </sheetViews>
  <sheetFormatPr defaultRowHeight="15" x14ac:dyDescent="0.25"/>
  <cols>
    <col min="1" max="1" width="9.140625" hidden="1" customWidth="1"/>
    <col min="3" max="3" width="12.7109375" bestFit="1" customWidth="1"/>
    <col min="4" max="4" width="34.28515625" customWidth="1"/>
    <col min="5" max="5" width="17.140625" customWidth="1"/>
    <col min="7" max="7" width="32.7109375" customWidth="1"/>
    <col min="8" max="8" width="10.7109375" customWidth="1"/>
    <col min="10" max="10" width="33" customWidth="1"/>
    <col min="12" max="12" width="24.7109375" customWidth="1"/>
  </cols>
  <sheetData>
    <row r="1" spans="1:14" hidden="1" x14ac:dyDescent="0.25">
      <c r="A1" t="s">
        <v>805</v>
      </c>
    </row>
    <row r="2" spans="1:14" ht="18" x14ac:dyDescent="0.25">
      <c r="B2" s="207"/>
      <c r="C2" s="211"/>
      <c r="D2" s="207"/>
      <c r="E2" s="205"/>
      <c r="F2" s="205"/>
      <c r="G2" s="207"/>
      <c r="H2" s="207"/>
      <c r="I2" s="207"/>
      <c r="J2" s="207"/>
      <c r="K2" s="207"/>
      <c r="L2" s="205"/>
      <c r="M2" s="207"/>
      <c r="N2" s="207"/>
    </row>
    <row r="3" spans="1:14" ht="18" x14ac:dyDescent="0.25">
      <c r="B3" s="207"/>
      <c r="C3" s="211" t="s">
        <v>695</v>
      </c>
      <c r="D3" s="207"/>
      <c r="E3" s="208"/>
      <c r="F3" s="205"/>
      <c r="G3" s="207"/>
      <c r="H3" s="207"/>
      <c r="I3" s="207"/>
      <c r="J3" s="207"/>
      <c r="K3" s="207"/>
      <c r="L3" s="207"/>
      <c r="M3" s="207"/>
      <c r="N3" s="207"/>
    </row>
    <row r="4" spans="1:14" ht="18" x14ac:dyDescent="0.25">
      <c r="B4" s="207"/>
      <c r="C4" s="207"/>
      <c r="D4" s="211"/>
      <c r="E4" s="208"/>
      <c r="F4" s="205"/>
      <c r="G4" s="207"/>
      <c r="H4" s="207"/>
      <c r="I4" s="207"/>
      <c r="J4" s="207"/>
      <c r="K4" s="207"/>
      <c r="L4" s="207"/>
      <c r="M4" s="207"/>
      <c r="N4" s="207"/>
    </row>
    <row r="5" spans="1:14" ht="15.75" thickBot="1" x14ac:dyDescent="0.3">
      <c r="B5" s="207"/>
      <c r="C5" s="207"/>
      <c r="D5" s="207"/>
      <c r="E5" s="209"/>
      <c r="F5" s="207"/>
      <c r="G5" s="207"/>
      <c r="H5" s="207"/>
      <c r="I5" s="207"/>
      <c r="J5" s="207"/>
      <c r="K5" s="207"/>
      <c r="L5" s="207"/>
      <c r="M5" s="207"/>
      <c r="N5" s="207"/>
    </row>
    <row r="6" spans="1:14" ht="18" x14ac:dyDescent="0.25">
      <c r="B6" s="207"/>
      <c r="C6" s="206"/>
      <c r="D6" s="204"/>
      <c r="E6" s="204"/>
      <c r="F6" s="204"/>
      <c r="G6" s="204"/>
      <c r="H6" s="217"/>
      <c r="I6" s="217"/>
      <c r="J6" s="217"/>
      <c r="K6" s="217"/>
      <c r="L6" s="217"/>
      <c r="M6" s="217"/>
      <c r="N6" s="218"/>
    </row>
    <row r="7" spans="1:14" ht="18.75" thickBot="1" x14ac:dyDescent="0.3">
      <c r="B7" s="207"/>
      <c r="C7" s="219"/>
      <c r="D7" s="220"/>
      <c r="E7" s="221"/>
      <c r="F7" s="220"/>
      <c r="G7" s="220"/>
      <c r="H7" s="220"/>
      <c r="I7" s="220"/>
      <c r="J7" s="220"/>
      <c r="K7" s="220"/>
      <c r="L7" s="220"/>
      <c r="M7" s="220"/>
      <c r="N7" s="222"/>
    </row>
    <row r="8" spans="1:14" ht="54.75" customHeight="1" thickBot="1" x14ac:dyDescent="0.3">
      <c r="B8" s="207"/>
      <c r="C8" s="219"/>
      <c r="D8" s="220"/>
      <c r="E8" s="221"/>
      <c r="F8" s="220"/>
      <c r="G8" s="223" t="s">
        <v>696</v>
      </c>
      <c r="H8" s="224" t="s">
        <v>133</v>
      </c>
      <c r="I8" s="225"/>
      <c r="J8" s="259" t="s">
        <v>697</v>
      </c>
      <c r="K8" s="260"/>
      <c r="L8" s="260"/>
      <c r="M8" s="261"/>
      <c r="N8" s="222"/>
    </row>
    <row r="9" spans="1:14" ht="18" x14ac:dyDescent="0.25">
      <c r="B9" s="207"/>
      <c r="C9" s="219"/>
      <c r="D9" s="226" t="s">
        <v>698</v>
      </c>
      <c r="E9" s="227">
        <f>Total_Equity</f>
        <v>10058306.620000001</v>
      </c>
      <c r="F9" s="220"/>
      <c r="G9" s="228"/>
      <c r="H9" s="220"/>
      <c r="I9" s="220"/>
      <c r="J9" s="220"/>
      <c r="K9" s="220"/>
      <c r="L9" s="220"/>
      <c r="M9" s="220"/>
      <c r="N9" s="222"/>
    </row>
    <row r="10" spans="1:14" ht="54.75" customHeight="1" thickBot="1" x14ac:dyDescent="0.3">
      <c r="B10" s="207"/>
      <c r="C10" s="219"/>
      <c r="D10" s="220"/>
      <c r="E10" s="221"/>
      <c r="F10" s="220"/>
      <c r="G10" s="228"/>
      <c r="H10" s="220"/>
      <c r="I10" s="220"/>
      <c r="J10" s="220"/>
      <c r="K10" s="220"/>
      <c r="L10" s="220"/>
      <c r="M10" s="220"/>
      <c r="N10" s="222"/>
    </row>
    <row r="11" spans="1:14" ht="18" customHeight="1" x14ac:dyDescent="0.25">
      <c r="B11" s="207"/>
      <c r="C11" s="219"/>
      <c r="D11" s="254" t="s">
        <v>699</v>
      </c>
      <c r="E11" s="254"/>
      <c r="F11" s="220"/>
      <c r="G11" s="262" t="s">
        <v>700</v>
      </c>
      <c r="H11" s="264">
        <f>Total_Liabilities/Total_Equity</f>
        <v>5.2310147789071868</v>
      </c>
      <c r="I11" s="220"/>
      <c r="J11" s="220"/>
      <c r="K11" s="220"/>
      <c r="L11" s="220"/>
      <c r="M11" s="220"/>
      <c r="N11" s="222"/>
    </row>
    <row r="12" spans="1:14" ht="18.75" thickBot="1" x14ac:dyDescent="0.3">
      <c r="B12" s="207"/>
      <c r="C12" s="229"/>
      <c r="D12" s="254"/>
      <c r="E12" s="254"/>
      <c r="F12" s="230"/>
      <c r="G12" s="263"/>
      <c r="H12" s="265"/>
      <c r="I12" s="230"/>
      <c r="J12" s="230"/>
      <c r="K12" s="230"/>
      <c r="L12" s="230"/>
      <c r="M12" s="230"/>
      <c r="N12" s="231"/>
    </row>
    <row r="13" spans="1:14" ht="18" customHeight="1" x14ac:dyDescent="0.25">
      <c r="B13" s="207"/>
      <c r="C13" s="219"/>
      <c r="D13" s="220"/>
      <c r="E13" s="221"/>
      <c r="F13" s="220"/>
      <c r="G13" s="232"/>
      <c r="H13" s="220"/>
      <c r="I13" s="220"/>
      <c r="J13" s="220"/>
      <c r="K13" s="220"/>
      <c r="L13" s="220"/>
      <c r="M13" s="220"/>
      <c r="N13" s="222"/>
    </row>
    <row r="14" spans="1:14" ht="18" x14ac:dyDescent="0.25">
      <c r="B14" s="207"/>
      <c r="C14" s="219"/>
      <c r="D14" s="226" t="s">
        <v>122</v>
      </c>
      <c r="E14" s="227">
        <f>Total_Liabilities_and_Equity</f>
        <v>61983164.229999997</v>
      </c>
      <c r="F14" s="220"/>
      <c r="G14" s="232"/>
      <c r="H14" s="220"/>
      <c r="I14" s="220"/>
      <c r="J14" s="220"/>
      <c r="K14" s="220"/>
      <c r="L14" s="220"/>
      <c r="M14" s="220"/>
      <c r="N14" s="222"/>
    </row>
    <row r="15" spans="1:14" ht="18.75" thickBot="1" x14ac:dyDescent="0.3">
      <c r="B15" s="207"/>
      <c r="C15" s="219"/>
      <c r="D15" s="233"/>
      <c r="E15" s="221"/>
      <c r="F15" s="220"/>
      <c r="G15" s="232"/>
      <c r="H15" s="220"/>
      <c r="I15" s="220"/>
      <c r="J15" s="220"/>
      <c r="K15" s="220"/>
      <c r="L15" s="220"/>
      <c r="M15" s="220"/>
      <c r="N15" s="222"/>
    </row>
    <row r="16" spans="1:14" ht="18.75" customHeight="1" thickBot="1" x14ac:dyDescent="0.3">
      <c r="B16" s="207"/>
      <c r="C16" s="219"/>
      <c r="D16" s="254" t="s">
        <v>701</v>
      </c>
      <c r="E16" s="254"/>
      <c r="F16" s="220"/>
      <c r="G16" s="262" t="s">
        <v>702</v>
      </c>
      <c r="H16" s="264">
        <f>Revenue_Annualized/Total_Assets</f>
        <v>0.31667537133713292</v>
      </c>
      <c r="I16" s="220"/>
      <c r="J16" s="220"/>
      <c r="K16" s="220"/>
      <c r="L16" s="220"/>
      <c r="M16" s="220"/>
      <c r="N16" s="222"/>
    </row>
    <row r="17" spans="2:14" ht="18.75" customHeight="1" thickBot="1" x14ac:dyDescent="0.3">
      <c r="B17" s="207"/>
      <c r="C17" s="229"/>
      <c r="D17" s="254"/>
      <c r="E17" s="254"/>
      <c r="F17" s="230"/>
      <c r="G17" s="263"/>
      <c r="H17" s="265"/>
      <c r="I17" s="230"/>
      <c r="J17" s="220"/>
      <c r="K17" s="230"/>
      <c r="L17" s="252" t="s">
        <v>703</v>
      </c>
      <c r="M17" s="230"/>
      <c r="N17" s="231"/>
    </row>
    <row r="18" spans="2:14" ht="18.75" customHeight="1" x14ac:dyDescent="0.25">
      <c r="B18" s="207"/>
      <c r="C18" s="219"/>
      <c r="D18" s="220"/>
      <c r="E18" s="221"/>
      <c r="F18" s="220"/>
      <c r="G18" s="232"/>
      <c r="H18" s="220"/>
      <c r="I18" s="220"/>
      <c r="J18" s="220"/>
      <c r="K18" s="220"/>
      <c r="L18" s="253"/>
      <c r="M18" s="220"/>
      <c r="N18" s="222"/>
    </row>
    <row r="19" spans="2:14" ht="18.75" customHeight="1" thickBot="1" x14ac:dyDescent="0.3">
      <c r="B19" s="207"/>
      <c r="C19" s="219"/>
      <c r="D19" s="226" t="s">
        <v>0</v>
      </c>
      <c r="E19" s="227">
        <f>Revenue_Annualized</f>
        <v>19847140.331791908</v>
      </c>
      <c r="F19" s="220"/>
      <c r="G19" s="232"/>
      <c r="H19" s="220"/>
      <c r="I19" s="220"/>
      <c r="J19" s="220"/>
      <c r="K19" s="220"/>
      <c r="L19" s="234">
        <f>EAT_Annualized/Total_Equity</f>
        <v>7.2397796057482006E-2</v>
      </c>
      <c r="M19" s="220"/>
      <c r="N19" s="222"/>
    </row>
    <row r="20" spans="2:14" ht="18.75" thickBot="1" x14ac:dyDescent="0.3">
      <c r="B20" s="207"/>
      <c r="C20" s="219"/>
      <c r="D20" s="220"/>
      <c r="E20" s="221"/>
      <c r="F20" s="220"/>
      <c r="G20" s="232"/>
      <c r="H20" s="220"/>
      <c r="I20" s="220"/>
      <c r="J20" s="220"/>
      <c r="K20" s="220"/>
      <c r="L20" s="220"/>
      <c r="M20" s="220"/>
      <c r="N20" s="222"/>
    </row>
    <row r="21" spans="2:14" ht="18" customHeight="1" x14ac:dyDescent="0.25">
      <c r="B21" s="207"/>
      <c r="C21" s="219"/>
      <c r="D21" s="254" t="s">
        <v>704</v>
      </c>
      <c r="E21" s="254"/>
      <c r="F21" s="220"/>
      <c r="G21" s="255" t="s">
        <v>705</v>
      </c>
      <c r="H21" s="264">
        <f>EBT_Annualized/Revenue_Annualized</f>
        <v>3.6690385576199303E-2</v>
      </c>
      <c r="I21" s="220"/>
      <c r="J21" s="252" t="s">
        <v>706</v>
      </c>
      <c r="K21" s="220"/>
      <c r="L21" s="220"/>
      <c r="M21" s="220"/>
      <c r="N21" s="222"/>
    </row>
    <row r="22" spans="2:14" ht="18.75" thickBot="1" x14ac:dyDescent="0.3">
      <c r="B22" s="207"/>
      <c r="C22" s="229"/>
      <c r="D22" s="254"/>
      <c r="E22" s="254"/>
      <c r="F22" s="230"/>
      <c r="G22" s="256"/>
      <c r="H22" s="265"/>
      <c r="I22" s="230"/>
      <c r="J22" s="253"/>
      <c r="K22" s="230"/>
      <c r="L22" s="230"/>
      <c r="M22" s="230"/>
      <c r="N22" s="231"/>
    </row>
    <row r="23" spans="2:14" ht="18" customHeight="1" thickBot="1" x14ac:dyDescent="0.3">
      <c r="B23" s="207"/>
      <c r="C23" s="219"/>
      <c r="D23" s="233"/>
      <c r="E23" s="221"/>
      <c r="F23" s="220"/>
      <c r="G23" s="232"/>
      <c r="H23" s="220"/>
      <c r="I23" s="220"/>
      <c r="J23" s="234">
        <f>H16*H21*(1-H26)</f>
        <v>1.16189414768455E-2</v>
      </c>
      <c r="K23" s="220"/>
      <c r="L23" s="220"/>
      <c r="M23" s="220"/>
      <c r="N23" s="222"/>
    </row>
    <row r="24" spans="2:14" ht="18" x14ac:dyDescent="0.25">
      <c r="B24" s="207"/>
      <c r="C24" s="219"/>
      <c r="D24" s="226" t="s">
        <v>707</v>
      </c>
      <c r="E24" s="227">
        <f>EBT</f>
        <v>690292.96999999974</v>
      </c>
      <c r="F24" s="220"/>
      <c r="G24" s="232"/>
      <c r="H24" s="220"/>
      <c r="I24" s="220"/>
      <c r="J24" s="220"/>
      <c r="K24" s="220"/>
      <c r="L24" s="220"/>
      <c r="M24" s="220"/>
      <c r="N24" s="222"/>
    </row>
    <row r="25" spans="2:14" ht="18.75" thickBot="1" x14ac:dyDescent="0.3">
      <c r="B25" s="207"/>
      <c r="C25" s="219"/>
      <c r="D25" s="220"/>
      <c r="E25" s="221"/>
      <c r="F25" s="220"/>
      <c r="G25" s="232"/>
      <c r="H25" s="220"/>
      <c r="I25" s="220"/>
      <c r="J25" s="220"/>
      <c r="K25" s="220"/>
      <c r="L25" s="220"/>
      <c r="M25" s="220"/>
      <c r="N25" s="222"/>
    </row>
    <row r="26" spans="2:14" ht="18" customHeight="1" x14ac:dyDescent="0.25">
      <c r="B26" s="207"/>
      <c r="C26" s="219"/>
      <c r="D26" s="254" t="s">
        <v>106</v>
      </c>
      <c r="E26" s="254"/>
      <c r="F26" s="220"/>
      <c r="G26" s="255" t="s">
        <v>107</v>
      </c>
      <c r="H26" s="257">
        <f>(EBT-EAT)/EBT</f>
        <v>0</v>
      </c>
      <c r="I26" s="220"/>
      <c r="J26" s="220"/>
      <c r="K26" s="220"/>
      <c r="L26" s="220"/>
      <c r="M26" s="220"/>
      <c r="N26" s="222"/>
    </row>
    <row r="27" spans="2:14" ht="18.75" thickBot="1" x14ac:dyDescent="0.3">
      <c r="B27" s="207"/>
      <c r="C27" s="229"/>
      <c r="D27" s="254"/>
      <c r="E27" s="254"/>
      <c r="F27" s="230"/>
      <c r="G27" s="256"/>
      <c r="H27" s="258"/>
      <c r="I27" s="230"/>
      <c r="J27" s="230"/>
      <c r="K27" s="230"/>
      <c r="L27" s="230"/>
      <c r="M27" s="230"/>
      <c r="N27" s="231"/>
    </row>
    <row r="28" spans="2:14" ht="18" customHeight="1" x14ac:dyDescent="0.25">
      <c r="B28" s="207"/>
      <c r="C28" s="219"/>
      <c r="D28" s="220"/>
      <c r="E28" s="221"/>
      <c r="F28" s="220"/>
      <c r="G28" s="220"/>
      <c r="H28" s="220"/>
      <c r="I28" s="220"/>
      <c r="J28" s="220"/>
      <c r="K28" s="220"/>
      <c r="L28" s="220"/>
      <c r="M28" s="220"/>
      <c r="N28" s="222"/>
    </row>
    <row r="29" spans="2:14" ht="18" x14ac:dyDescent="0.25">
      <c r="B29" s="207"/>
      <c r="C29" s="219"/>
      <c r="D29" s="226" t="s">
        <v>708</v>
      </c>
      <c r="E29" s="227">
        <f>EAT</f>
        <v>690292.96999999974</v>
      </c>
      <c r="F29" s="220"/>
      <c r="G29" s="220"/>
      <c r="H29" s="220"/>
      <c r="I29" s="220"/>
      <c r="J29" s="220"/>
      <c r="K29" s="220"/>
      <c r="L29" s="220"/>
      <c r="M29" s="220"/>
      <c r="N29" s="222"/>
    </row>
    <row r="30" spans="2:14" ht="18" x14ac:dyDescent="0.25">
      <c r="B30" s="207"/>
      <c r="C30" s="219"/>
      <c r="D30" s="220"/>
      <c r="E30" s="221"/>
      <c r="F30" s="220"/>
      <c r="G30" s="220"/>
      <c r="H30" s="220"/>
      <c r="I30" s="220"/>
      <c r="J30" s="220"/>
      <c r="K30" s="220"/>
      <c r="L30" s="220"/>
      <c r="M30" s="220"/>
      <c r="N30" s="222"/>
    </row>
    <row r="31" spans="2:14" ht="18.75" thickBot="1" x14ac:dyDescent="0.3">
      <c r="B31" s="207"/>
      <c r="C31" s="235"/>
      <c r="D31" s="236"/>
      <c r="E31" s="237"/>
      <c r="F31" s="236"/>
      <c r="G31" s="236"/>
      <c r="H31" s="236"/>
      <c r="I31" s="236"/>
      <c r="J31" s="236"/>
      <c r="K31" s="236"/>
      <c r="L31" s="236"/>
      <c r="M31" s="236"/>
      <c r="N31" s="238"/>
    </row>
    <row r="32" spans="2:14" ht="18" x14ac:dyDescent="0.25">
      <c r="B32" s="207"/>
      <c r="C32" s="220"/>
      <c r="D32" s="220"/>
      <c r="E32" s="221"/>
      <c r="F32" s="220"/>
      <c r="G32" s="220"/>
      <c r="H32" s="220"/>
      <c r="I32" s="220"/>
      <c r="J32" s="220"/>
      <c r="K32" s="220"/>
      <c r="L32" s="220"/>
      <c r="M32" s="220"/>
      <c r="N32" s="220"/>
    </row>
    <row r="33" spans="2:14" ht="18.75" x14ac:dyDescent="0.3">
      <c r="B33" s="207"/>
      <c r="C33" s="239" t="s">
        <v>709</v>
      </c>
      <c r="D33" s="220"/>
      <c r="E33" s="221"/>
      <c r="F33" s="220"/>
      <c r="G33" s="220"/>
      <c r="H33" s="220"/>
      <c r="I33" s="220"/>
      <c r="J33" s="220"/>
      <c r="K33" s="220"/>
      <c r="L33" s="220"/>
      <c r="M33" s="220"/>
      <c r="N33" s="220"/>
    </row>
    <row r="34" spans="2:14" ht="18" x14ac:dyDescent="0.25">
      <c r="C34" s="213"/>
      <c r="D34" s="213"/>
      <c r="E34" s="214"/>
      <c r="F34" s="213"/>
      <c r="G34" s="213"/>
      <c r="H34" s="213"/>
      <c r="I34" s="213"/>
      <c r="J34" s="213"/>
      <c r="K34" s="213"/>
      <c r="L34" s="213"/>
      <c r="M34" s="213"/>
      <c r="N34" s="213"/>
    </row>
    <row r="35" spans="2:14" ht="18.75" x14ac:dyDescent="0.3">
      <c r="C35" s="215"/>
      <c r="D35" s="213"/>
      <c r="E35" s="214"/>
      <c r="F35" s="213"/>
      <c r="G35" s="213"/>
      <c r="H35" s="213"/>
      <c r="I35" s="213"/>
      <c r="J35" s="213"/>
      <c r="K35" s="213"/>
      <c r="L35" s="213"/>
      <c r="M35" s="213"/>
      <c r="N35" s="213"/>
    </row>
    <row r="36" spans="2:14" ht="18" x14ac:dyDescent="0.25">
      <c r="C36" s="213"/>
      <c r="D36" s="210"/>
      <c r="E36" s="214"/>
      <c r="F36" s="213"/>
      <c r="G36" s="213"/>
      <c r="H36" s="213"/>
      <c r="I36" s="213"/>
      <c r="J36" s="213"/>
      <c r="K36" s="213"/>
      <c r="L36" s="213"/>
      <c r="M36" s="213"/>
      <c r="N36" s="213"/>
    </row>
    <row r="37" spans="2:14" ht="18" x14ac:dyDescent="0.25">
      <c r="C37" s="213"/>
      <c r="D37" s="213"/>
      <c r="E37" s="214"/>
      <c r="F37" s="213"/>
      <c r="G37" s="213"/>
      <c r="H37" s="213"/>
      <c r="I37" s="213"/>
      <c r="J37" s="213"/>
      <c r="K37" s="213"/>
      <c r="L37" s="213"/>
      <c r="M37" s="213"/>
      <c r="N37" s="213"/>
    </row>
  </sheetData>
  <mergeCells count="15">
    <mergeCell ref="J21:J22"/>
    <mergeCell ref="D26:E27"/>
    <mergeCell ref="G26:G27"/>
    <mergeCell ref="H26:H27"/>
    <mergeCell ref="J8:M8"/>
    <mergeCell ref="D11:E12"/>
    <mergeCell ref="G11:G12"/>
    <mergeCell ref="H11:H12"/>
    <mergeCell ref="D16:E17"/>
    <mergeCell ref="G16:G17"/>
    <mergeCell ref="H16:H17"/>
    <mergeCell ref="L17:L18"/>
    <mergeCell ref="D21:E22"/>
    <mergeCell ref="G21:G22"/>
    <mergeCell ref="H21:H22"/>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733</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733</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734</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735</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736</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740</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740</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741</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741</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742</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zoomScale="80" zoomScaleNormal="80" workbookViewId="0"/>
  </sheetViews>
  <sheetFormatPr defaultRowHeight="15" x14ac:dyDescent="0.25"/>
  <cols>
    <col min="1" max="1" width="9.140625" hidden="1" customWidth="1"/>
    <col min="2" max="2" width="16.7109375" style="6" hidden="1" customWidth="1"/>
    <col min="3" max="3" width="4.28515625" style="6" customWidth="1"/>
    <col min="4" max="4" width="23.7109375" style="117" customWidth="1"/>
    <col min="5" max="5" width="67.28515625" customWidth="1"/>
    <col min="6" max="6" width="18.7109375" customWidth="1"/>
    <col min="7" max="7" width="0.85546875" customWidth="1"/>
    <col min="8" max="8" width="18.7109375" customWidth="1"/>
    <col min="9" max="9" width="0.85546875" customWidth="1"/>
    <col min="10" max="10" width="18.7109375" customWidth="1"/>
    <col min="11" max="11" width="0.85546875" customWidth="1"/>
    <col min="12" max="12" width="18.7109375" customWidth="1"/>
  </cols>
  <sheetData>
    <row r="1" spans="1:12" hidden="1" x14ac:dyDescent="0.25">
      <c r="A1" s="18" t="s">
        <v>832</v>
      </c>
      <c r="B1" s="6" t="s">
        <v>346</v>
      </c>
      <c r="D1" s="112"/>
      <c r="E1" s="4"/>
      <c r="F1" s="4"/>
      <c r="G1" s="4"/>
      <c r="H1" s="4"/>
      <c r="I1" s="4"/>
      <c r="J1" s="4"/>
      <c r="K1" s="4"/>
      <c r="L1" s="4"/>
    </row>
    <row r="2" spans="1:12" x14ac:dyDescent="0.25">
      <c r="A2" s="3"/>
      <c r="D2" s="112"/>
      <c r="E2" s="4"/>
      <c r="F2" s="4"/>
      <c r="G2" s="4"/>
      <c r="H2" s="4"/>
      <c r="I2" s="4"/>
      <c r="J2" s="4"/>
      <c r="K2" s="4"/>
      <c r="L2" s="4"/>
    </row>
    <row r="3" spans="1:12" ht="18" x14ac:dyDescent="0.25">
      <c r="A3" s="3"/>
      <c r="D3" s="113" t="s">
        <v>6</v>
      </c>
      <c r="E3" s="7"/>
      <c r="F3" s="7"/>
      <c r="G3" s="7"/>
      <c r="H3" s="7"/>
      <c r="I3" s="7"/>
      <c r="J3" s="7"/>
      <c r="K3" s="7"/>
      <c r="L3" s="7"/>
    </row>
    <row r="4" spans="1:12" x14ac:dyDescent="0.25">
      <c r="A4" s="3"/>
      <c r="D4" s="114"/>
      <c r="E4" s="4"/>
      <c r="F4" s="4"/>
      <c r="G4" s="4"/>
      <c r="H4" s="4"/>
      <c r="I4" s="4"/>
      <c r="J4" s="4"/>
      <c r="K4" s="4"/>
      <c r="L4" s="4"/>
    </row>
    <row r="5" spans="1:12" x14ac:dyDescent="0.25">
      <c r="A5" s="3"/>
      <c r="D5" s="115" t="s">
        <v>109</v>
      </c>
      <c r="E5" s="105" t="str">
        <f>Budget_name</f>
        <v>2018</v>
      </c>
      <c r="F5" s="4"/>
      <c r="G5" s="4"/>
      <c r="H5" s="4"/>
      <c r="I5" s="4"/>
      <c r="J5" s="4"/>
      <c r="K5" s="4"/>
      <c r="L5" s="4"/>
    </row>
    <row r="6" spans="1:12" x14ac:dyDescent="0.25">
      <c r="A6" s="3"/>
      <c r="D6" s="115" t="s">
        <v>341</v>
      </c>
      <c r="E6" s="85" t="str">
        <f>Start_Date</f>
        <v>1/1/2018</v>
      </c>
      <c r="F6" s="4"/>
      <c r="G6" s="4"/>
      <c r="H6" s="4"/>
      <c r="I6" s="4"/>
      <c r="J6" s="4"/>
      <c r="K6" s="4"/>
      <c r="L6" s="4"/>
    </row>
    <row r="7" spans="1:12" x14ac:dyDescent="0.25">
      <c r="A7" s="3"/>
      <c r="D7" s="115" t="s">
        <v>340</v>
      </c>
      <c r="E7" s="85" t="str">
        <f>End_Date</f>
        <v>12/12/2018</v>
      </c>
      <c r="F7" s="4"/>
      <c r="G7" s="4"/>
      <c r="H7" s="4"/>
      <c r="I7" s="4"/>
      <c r="J7" s="4"/>
      <c r="K7" s="4"/>
      <c r="L7" s="4"/>
    </row>
    <row r="8" spans="1:12" x14ac:dyDescent="0.25">
      <c r="A8" s="3"/>
      <c r="B8" s="271" t="s">
        <v>348</v>
      </c>
      <c r="C8" s="126"/>
      <c r="D8" s="266"/>
      <c r="E8" s="266"/>
      <c r="F8" s="266"/>
      <c r="G8" s="266"/>
      <c r="H8" s="266"/>
      <c r="I8" s="107"/>
      <c r="J8" s="4"/>
      <c r="K8" s="4"/>
      <c r="L8" s="4"/>
    </row>
    <row r="9" spans="1:12" ht="15.75" x14ac:dyDescent="0.25">
      <c r="A9" s="3"/>
      <c r="B9" s="271"/>
      <c r="C9" s="126"/>
      <c r="D9" s="267"/>
      <c r="E9" s="267"/>
      <c r="F9" s="267"/>
      <c r="G9" s="267"/>
      <c r="H9" s="267"/>
      <c r="I9" s="108"/>
      <c r="J9" s="268" t="s">
        <v>8</v>
      </c>
      <c r="K9" s="269"/>
      <c r="L9" s="270"/>
    </row>
    <row r="10" spans="1:12" ht="15.75" x14ac:dyDescent="0.25">
      <c r="A10" s="3"/>
      <c r="B10" s="271"/>
      <c r="C10" s="126"/>
      <c r="D10" s="116"/>
      <c r="E10" s="8"/>
      <c r="F10" s="9" t="s">
        <v>9</v>
      </c>
      <c r="G10" s="10"/>
      <c r="H10" s="9" t="s">
        <v>10</v>
      </c>
      <c r="I10" s="10"/>
      <c r="J10" s="9" t="s">
        <v>11</v>
      </c>
      <c r="K10" s="10"/>
      <c r="L10" s="9" t="s">
        <v>12</v>
      </c>
    </row>
    <row r="11" spans="1:12" x14ac:dyDescent="0.25">
      <c r="A11" s="3"/>
      <c r="B11" s="271"/>
      <c r="C11" s="126"/>
      <c r="D11" s="112"/>
      <c r="E11" s="12"/>
      <c r="F11" s="12"/>
      <c r="G11" s="12"/>
      <c r="H11" s="12"/>
      <c r="I11" s="12"/>
      <c r="J11" s="12"/>
      <c r="K11" s="13"/>
      <c r="L11" s="12"/>
    </row>
    <row r="12" spans="1:12" x14ac:dyDescent="0.25">
      <c r="A12" s="3"/>
      <c r="D12" s="118"/>
      <c r="E12" s="14" t="s">
        <v>14</v>
      </c>
      <c r="F12" s="16"/>
      <c r="G12" s="15"/>
      <c r="H12" s="16"/>
      <c r="I12" s="15"/>
      <c r="J12" s="17"/>
      <c r="K12" s="13"/>
      <c r="L12" s="16"/>
    </row>
    <row r="13" spans="1:12" x14ac:dyDescent="0.25">
      <c r="A13" s="3"/>
      <c r="D13" s="119">
        <v>44100</v>
      </c>
      <c r="E13" s="19" t="str">
        <f>"Sales, Retail - North America"</f>
        <v>Sales, Retail - North America</v>
      </c>
      <c r="F13" s="20">
        <f>13903804.15</f>
        <v>13903804.15</v>
      </c>
      <c r="G13" s="19"/>
      <c r="H13" s="20">
        <f>14887377.23</f>
        <v>14887377.23</v>
      </c>
      <c r="I13" s="19"/>
      <c r="J13" s="21">
        <f>IF(F13=0,0,IF(H13=0,"∞",(F13-H13)/H13))</f>
        <v>-6.6067586305126491E-2</v>
      </c>
      <c r="K13" s="13"/>
      <c r="L13" s="20">
        <f>F13-H13</f>
        <v>-983573.08000000007</v>
      </c>
    </row>
    <row r="14" spans="1:12" x14ac:dyDescent="0.25">
      <c r="A14" s="3"/>
      <c r="D14" s="119">
        <v>44200</v>
      </c>
      <c r="E14" s="19" t="str">
        <f>"Sales, Retail - EU"</f>
        <v>Sales, Retail - EU</v>
      </c>
      <c r="F14" s="20">
        <f>5552983.37</f>
        <v>5552983.3700000001</v>
      </c>
      <c r="G14" s="19"/>
      <c r="H14" s="20">
        <f>5799049.91</f>
        <v>5799049.9100000001</v>
      </c>
      <c r="I14" s="19"/>
      <c r="J14" s="21">
        <f>IF(F14=0,"-",IF(H14=0,"∞",(F14-H14)/H14))</f>
        <v>-4.243221628006303E-2</v>
      </c>
      <c r="K14" s="13"/>
      <c r="L14" s="20">
        <f>F14-H14</f>
        <v>-246066.54000000004</v>
      </c>
    </row>
    <row r="15" spans="1:12" x14ac:dyDescent="0.25">
      <c r="A15" s="3"/>
      <c r="D15" s="119">
        <v>44300</v>
      </c>
      <c r="E15" s="19" t="str">
        <f>"Sales, Retail - Other"</f>
        <v>Sales, Retail - Other</v>
      </c>
      <c r="F15" s="20">
        <f>0</f>
        <v>0</v>
      </c>
      <c r="G15" s="19"/>
      <c r="H15" s="20">
        <f>0</f>
        <v>0</v>
      </c>
      <c r="I15" s="19"/>
      <c r="J15" s="21" t="str">
        <f>IF(F15=0,"-",IF(H15=0,"∞",(F15-H15)/H15))</f>
        <v>-</v>
      </c>
      <c r="K15" s="13"/>
      <c r="L15" s="20">
        <f>F15-H15</f>
        <v>0</v>
      </c>
    </row>
    <row r="16" spans="1:12" x14ac:dyDescent="0.25">
      <c r="A16" s="3"/>
      <c r="D16" s="119">
        <v>45100</v>
      </c>
      <c r="E16" s="19" t="str">
        <f>"Discounts, Retail - North Amer"</f>
        <v>Discounts, Retail - North Amer</v>
      </c>
      <c r="F16" s="20">
        <f>-474170.07</f>
        <v>-474170.07</v>
      </c>
      <c r="G16" s="19"/>
      <c r="H16" s="20">
        <f>-502511.01</f>
        <v>-502511.01</v>
      </c>
      <c r="I16" s="19"/>
      <c r="J16" s="21">
        <f>IF(F16=0,"-",IF(H16=0,"∞",(F16-H16)/H16))</f>
        <v>-5.6398644877452539E-2</v>
      </c>
      <c r="K16" s="13"/>
      <c r="L16" s="20">
        <f>F16-H16</f>
        <v>28340.940000000002</v>
      </c>
    </row>
    <row r="17" spans="1:12" x14ac:dyDescent="0.25">
      <c r="A17" s="3"/>
      <c r="D17" s="119">
        <v>45200</v>
      </c>
      <c r="E17" s="19" t="str">
        <f>"Discounts, Retail - EU"</f>
        <v>Discounts, Retail - EU</v>
      </c>
      <c r="F17" s="20">
        <f>-168615.93</f>
        <v>-168615.93</v>
      </c>
      <c r="G17" s="19"/>
      <c r="H17" s="20">
        <f>-179207.13</f>
        <v>-179207.13</v>
      </c>
      <c r="I17" s="19"/>
      <c r="J17" s="21">
        <f>IF(F17=0,"-",IF(H17=0,"∞",(F17-H17)/H17))</f>
        <v>-5.9100327090780433E-2</v>
      </c>
      <c r="K17" s="13"/>
      <c r="L17" s="20">
        <f>F17-H17</f>
        <v>10591.200000000012</v>
      </c>
    </row>
    <row r="18" spans="1:12" x14ac:dyDescent="0.25">
      <c r="A18" s="3"/>
      <c r="D18" s="119">
        <v>45300</v>
      </c>
      <c r="E18" s="19" t="str">
        <f>"Discounts, Retail - Other"</f>
        <v>Discounts, Retail - Other</v>
      </c>
      <c r="F18" s="20">
        <f>0</f>
        <v>0</v>
      </c>
      <c r="G18" s="19"/>
      <c r="H18" s="20">
        <f>0</f>
        <v>0</v>
      </c>
      <c r="I18" s="19"/>
      <c r="J18" s="21" t="str">
        <f>IF(F18=0,"-",IF(H18=0,"∞",(F18-H18)/H18))</f>
        <v>-</v>
      </c>
      <c r="K18" s="13"/>
      <c r="L18" s="20">
        <f>F18-H18</f>
        <v>0</v>
      </c>
    </row>
    <row r="19" spans="1:12" x14ac:dyDescent="0.25">
      <c r="A19" s="3"/>
      <c r="D19" s="119"/>
      <c r="E19" s="26" t="s">
        <v>25</v>
      </c>
      <c r="F19" s="27">
        <f>SUM(F13:F18)</f>
        <v>18814001.52</v>
      </c>
      <c r="G19" s="28"/>
      <c r="H19" s="27">
        <f>SUM(H13:H18)</f>
        <v>20004709</v>
      </c>
      <c r="I19" s="28"/>
      <c r="J19" s="29">
        <f>IF(F19=0,"-",IF(H19=0,"∞",(F19-H19)/H19))</f>
        <v>-5.952135969585963E-2</v>
      </c>
      <c r="K19" s="13"/>
      <c r="L19" s="27">
        <f>F19-H19</f>
        <v>-1190707.4800000004</v>
      </c>
    </row>
    <row r="20" spans="1:12" x14ac:dyDescent="0.25">
      <c r="A20" s="3"/>
      <c r="D20" s="120"/>
      <c r="E20" s="19"/>
      <c r="F20" s="20"/>
      <c r="G20" s="19"/>
      <c r="H20" s="30"/>
      <c r="I20" s="19"/>
      <c r="J20" s="31"/>
      <c r="K20" s="13"/>
      <c r="L20" s="30"/>
    </row>
    <row r="21" spans="1:12" x14ac:dyDescent="0.25">
      <c r="A21" s="3"/>
      <c r="D21" s="118"/>
      <c r="E21" s="14" t="s">
        <v>26</v>
      </c>
      <c r="F21" s="32"/>
      <c r="G21" s="15"/>
      <c r="H21" s="33"/>
      <c r="I21" s="15"/>
      <c r="J21" s="34"/>
      <c r="K21" s="13"/>
      <c r="L21" s="33"/>
    </row>
    <row r="22" spans="1:12" x14ac:dyDescent="0.25">
      <c r="A22" s="3"/>
      <c r="D22" s="119">
        <v>52100</v>
      </c>
      <c r="E22" s="19" t="str">
        <f>"COGS, Retail - North America"</f>
        <v>COGS, Retail - North America</v>
      </c>
      <c r="F22" s="20">
        <f>-8041558.25</f>
        <v>-8041558.25</v>
      </c>
      <c r="G22" s="19"/>
      <c r="H22" s="20">
        <f>-8433436.91</f>
        <v>-8433436.9100000001</v>
      </c>
      <c r="I22" s="19"/>
      <c r="J22" s="21">
        <f>IF(F22=0,"-",IF(H22=0,"∞",(F22-H22)/H22))</f>
        <v>-4.6467254594070369E-2</v>
      </c>
      <c r="K22" s="13"/>
      <c r="L22" s="20">
        <f>F22-H22</f>
        <v>391878.66000000015</v>
      </c>
    </row>
    <row r="23" spans="1:12" x14ac:dyDescent="0.25">
      <c r="A23" s="3"/>
      <c r="D23" s="119">
        <v>52300</v>
      </c>
      <c r="E23" s="19" t="str">
        <f>"COGS, Retail - EU"</f>
        <v>COGS, Retail - EU</v>
      </c>
      <c r="F23" s="20">
        <f>-2435016.68</f>
        <v>-2435016.6800000002</v>
      </c>
      <c r="G23" s="19"/>
      <c r="H23" s="20">
        <f>-2598021.91</f>
        <v>-2598021.91</v>
      </c>
      <c r="I23" s="19"/>
      <c r="J23" s="21">
        <f>IF(F23=0,"-",IF(H23=0,"∞",(F23-H23)/H23))</f>
        <v>-6.2742053626483843E-2</v>
      </c>
      <c r="K23" s="13"/>
      <c r="L23" s="20">
        <f>F23-H23</f>
        <v>163005.22999999998</v>
      </c>
    </row>
    <row r="24" spans="1:12" x14ac:dyDescent="0.25">
      <c r="A24" s="3"/>
      <c r="D24" s="119">
        <v>52400</v>
      </c>
      <c r="E24" s="19" t="str">
        <f>"COGS, Retail - Other"</f>
        <v>COGS, Retail - Other</v>
      </c>
      <c r="F24" s="20">
        <f>0</f>
        <v>0</v>
      </c>
      <c r="G24" s="19"/>
      <c r="H24" s="20">
        <f>0</f>
        <v>0</v>
      </c>
      <c r="I24" s="19"/>
      <c r="J24" s="21" t="str">
        <f>IF(F24=0,"-",IF(H24=0,"∞",(F24-H24)/H24))</f>
        <v>-</v>
      </c>
      <c r="K24" s="13"/>
      <c r="L24" s="20">
        <f>F24-H24</f>
        <v>0</v>
      </c>
    </row>
    <row r="25" spans="1:12" x14ac:dyDescent="0.25">
      <c r="A25" s="3"/>
      <c r="D25" s="119" t="s">
        <v>762</v>
      </c>
      <c r="E25" s="19" t="str">
        <f>"Cost Adjustments"</f>
        <v>Cost Adjustments</v>
      </c>
      <c r="F25" s="20">
        <f>499643.52</f>
        <v>499643.52</v>
      </c>
      <c r="G25" s="19"/>
      <c r="H25" s="20">
        <f>0</f>
        <v>0</v>
      </c>
      <c r="I25" s="19"/>
      <c r="J25" s="21" t="str">
        <f>IF(F25=0,"-",IF(H25=0,"∞",(F25-H25)/H25))</f>
        <v>∞</v>
      </c>
      <c r="K25" s="13"/>
      <c r="L25" s="20">
        <f>F25-H25</f>
        <v>499643.52</v>
      </c>
    </row>
    <row r="26" spans="1:12" x14ac:dyDescent="0.25">
      <c r="A26" s="3"/>
      <c r="D26" s="121"/>
      <c r="E26" s="28" t="s">
        <v>36</v>
      </c>
      <c r="F26" s="27">
        <f>SUM(F22:F25)</f>
        <v>-9976931.4100000001</v>
      </c>
      <c r="G26" s="28"/>
      <c r="H26" s="27">
        <f>SUM(H22:H25)</f>
        <v>-11031458.82</v>
      </c>
      <c r="I26" s="28"/>
      <c r="J26" s="29">
        <f>IF(F26=0,"-",IF(H26=0,"∞",(F26-H26)/H26))</f>
        <v>-9.5592743190786811E-2</v>
      </c>
      <c r="K26" s="13"/>
      <c r="L26" s="27">
        <f>F26-H26</f>
        <v>1054527.4100000001</v>
      </c>
    </row>
    <row r="27" spans="1:12" x14ac:dyDescent="0.25">
      <c r="A27" s="3"/>
      <c r="D27" s="120"/>
      <c r="E27" s="19"/>
      <c r="F27" s="20"/>
      <c r="G27" s="19"/>
      <c r="H27" s="20"/>
      <c r="I27" s="19"/>
      <c r="J27" s="31"/>
      <c r="K27" s="13"/>
      <c r="L27" s="20">
        <f>F27-H27</f>
        <v>0</v>
      </c>
    </row>
    <row r="28" spans="1:12" ht="15.75" thickBot="1" x14ac:dyDescent="0.3">
      <c r="A28" s="3"/>
      <c r="D28" s="122"/>
      <c r="E28" s="36" t="s">
        <v>37</v>
      </c>
      <c r="F28" s="38">
        <f>F19+F26</f>
        <v>8837070.1099999994</v>
      </c>
      <c r="G28" s="37"/>
      <c r="H28" s="38">
        <f>H19+H26</f>
        <v>8973250.1799999997</v>
      </c>
      <c r="I28" s="37"/>
      <c r="J28" s="39">
        <f>IF(F28=0,"-",IF(H28=0,"∞",(F28-H28)/H28))</f>
        <v>-1.5176225700641314E-2</v>
      </c>
      <c r="K28" s="40"/>
      <c r="L28" s="38">
        <f>F28-H28</f>
        <v>-136180.0700000003</v>
      </c>
    </row>
    <row r="29" spans="1:12" ht="15.75" thickTop="1" x14ac:dyDescent="0.25">
      <c r="A29" s="3"/>
      <c r="D29" s="120"/>
      <c r="E29" s="19"/>
      <c r="F29" s="20"/>
      <c r="G29" s="19"/>
      <c r="H29" s="30"/>
      <c r="I29" s="19"/>
      <c r="J29" s="31"/>
      <c r="K29" s="13"/>
      <c r="L29" s="30"/>
    </row>
    <row r="30" spans="1:12" x14ac:dyDescent="0.25">
      <c r="A30" s="3"/>
      <c r="D30" s="120"/>
      <c r="E30" s="19"/>
      <c r="F30" s="20"/>
      <c r="G30" s="19"/>
      <c r="H30" s="30"/>
      <c r="I30" s="19"/>
      <c r="J30" s="31"/>
      <c r="K30" s="13"/>
      <c r="L30" s="30"/>
    </row>
    <row r="31" spans="1:12" x14ac:dyDescent="0.25">
      <c r="A31" s="3"/>
      <c r="D31" s="118"/>
      <c r="E31" s="14" t="s">
        <v>38</v>
      </c>
      <c r="F31" s="32"/>
      <c r="G31" s="15"/>
      <c r="H31" s="33"/>
      <c r="I31" s="15"/>
      <c r="J31" s="34"/>
      <c r="K31" s="13"/>
      <c r="L31" s="33"/>
    </row>
    <row r="32" spans="1:12" x14ac:dyDescent="0.25">
      <c r="A32" s="3"/>
      <c r="D32" s="119">
        <v>61400</v>
      </c>
      <c r="E32" s="19" t="str">
        <f>"Total Selling Expenses"</f>
        <v>Total Selling Expenses</v>
      </c>
      <c r="F32" s="20">
        <f>-1504302.51</f>
        <v>-1504302.51</v>
      </c>
      <c r="G32" s="19"/>
      <c r="H32" s="20">
        <f>-1556699.97</f>
        <v>-1556699.97</v>
      </c>
      <c r="I32" s="19"/>
      <c r="J32" s="21">
        <f>IF(F32=0,"-",IF(H32=0,"∞",(F32-H32)/H32))</f>
        <v>-3.3659318436294418E-2</v>
      </c>
      <c r="K32" s="13"/>
      <c r="L32" s="20">
        <f>F32-H32</f>
        <v>52397.459999999963</v>
      </c>
    </row>
    <row r="33" spans="1:12" x14ac:dyDescent="0.25">
      <c r="A33" s="3"/>
      <c r="D33" s="119">
        <v>62950</v>
      </c>
      <c r="E33" s="19" t="str">
        <f>"Total Personnel Expenses"</f>
        <v>Total Personnel Expenses</v>
      </c>
      <c r="F33" s="20">
        <f>-6502602.44</f>
        <v>-6502602.4400000004</v>
      </c>
      <c r="G33" s="19"/>
      <c r="H33" s="20">
        <f>-6299663.8</f>
        <v>-6299663.7999999998</v>
      </c>
      <c r="I33" s="19"/>
      <c r="J33" s="21">
        <f>IF(F33=0,"-",IF(H33=0,"∞",(F33-H33)/H33))</f>
        <v>3.2214201653110536E-2</v>
      </c>
      <c r="K33" s="13"/>
      <c r="L33" s="20">
        <f>F33-H33</f>
        <v>-202938.6400000006</v>
      </c>
    </row>
    <row r="34" spans="1:12" x14ac:dyDescent="0.25">
      <c r="A34" s="3"/>
      <c r="D34" s="119">
        <v>64400</v>
      </c>
      <c r="E34" s="19" t="str">
        <f>"Total Computer Expenses"</f>
        <v>Total Computer Expenses</v>
      </c>
      <c r="F34" s="20">
        <f>-47723.19</f>
        <v>-47723.19</v>
      </c>
      <c r="G34" s="19"/>
      <c r="H34" s="20">
        <f>-49246.93</f>
        <v>-49246.93</v>
      </c>
      <c r="I34" s="19"/>
      <c r="J34" s="21">
        <f>IF(F34=0,"-",IF(H34=0,"∞",(F34-H34)/H34))</f>
        <v>-3.0940811945028818E-2</v>
      </c>
      <c r="K34" s="13"/>
      <c r="L34" s="20">
        <f>F34-H34</f>
        <v>1523.739999999998</v>
      </c>
    </row>
    <row r="35" spans="1:12" x14ac:dyDescent="0.25">
      <c r="A35" s="3"/>
      <c r="D35" s="119">
        <v>65400</v>
      </c>
      <c r="E35" s="19" t="str">
        <f>"Total Bldg. Maint. Expenses"</f>
        <v>Total Bldg. Maint. Expenses</v>
      </c>
      <c r="F35" s="20">
        <f>-56106.18</f>
        <v>-56106.18</v>
      </c>
      <c r="G35" s="19"/>
      <c r="H35" s="20">
        <f>-58287.61</f>
        <v>-58287.61</v>
      </c>
      <c r="I35" s="19"/>
      <c r="J35" s="21">
        <f>IF(F35=0,"-",IF(H35=0,"∞",(F35-H35)/H35))</f>
        <v>-3.7425277859222575E-2</v>
      </c>
      <c r="K35" s="13"/>
      <c r="L35" s="20">
        <f>F35-H35</f>
        <v>2181.4300000000003</v>
      </c>
    </row>
    <row r="36" spans="1:12" x14ac:dyDescent="0.25">
      <c r="A36" s="3"/>
      <c r="D36" s="119">
        <v>65900</v>
      </c>
      <c r="E36" s="19" t="str">
        <f>"Total Administrative Expenses"</f>
        <v>Total Administrative Expenses</v>
      </c>
      <c r="F36" s="20">
        <f>-36042.82</f>
        <v>-36042.82</v>
      </c>
      <c r="G36" s="19"/>
      <c r="H36" s="20">
        <f>-34312.83</f>
        <v>-34312.83</v>
      </c>
      <c r="I36" s="19"/>
      <c r="J36" s="21">
        <f>IF(F36=0,"-",IF(H36=0,"∞",(F36-H36)/H36))</f>
        <v>5.0418167198683347E-2</v>
      </c>
      <c r="K36" s="13"/>
      <c r="L36" s="20">
        <f>F36-H36</f>
        <v>-1729.989999999998</v>
      </c>
    </row>
    <row r="37" spans="1:12" x14ac:dyDescent="0.25">
      <c r="A37" s="3"/>
      <c r="D37" s="119">
        <v>66400</v>
      </c>
      <c r="E37" s="19" t="str">
        <f>"Total Fixed Asset Depreciation"</f>
        <v>Total Fixed Asset Depreciation</v>
      </c>
      <c r="F37" s="20">
        <f>0</f>
        <v>0</v>
      </c>
      <c r="G37" s="19"/>
      <c r="H37" s="20">
        <f>0</f>
        <v>0</v>
      </c>
      <c r="I37" s="19"/>
      <c r="J37" s="21" t="str">
        <f>IF(F37=0,"-",IF(H37=0,"∞",(F37-H37)/H37))</f>
        <v>-</v>
      </c>
      <c r="K37" s="13"/>
      <c r="L37" s="20">
        <f>F37-H37</f>
        <v>0</v>
      </c>
    </row>
    <row r="38" spans="1:12" x14ac:dyDescent="0.25">
      <c r="A38" s="3"/>
      <c r="D38" s="119">
        <v>67600</v>
      </c>
      <c r="E38" s="22" t="str">
        <f>"Other Operating Exp., Total"</f>
        <v>Other Operating Exp., Total</v>
      </c>
      <c r="F38" s="23">
        <f>0</f>
        <v>0</v>
      </c>
      <c r="G38" s="22"/>
      <c r="H38" s="23">
        <f>0</f>
        <v>0</v>
      </c>
      <c r="I38" s="22"/>
      <c r="J38" s="24" t="str">
        <f>IF(F38=0,"-",IF(H38=0,"∞",(F38-H38)/H38))</f>
        <v>-</v>
      </c>
      <c r="K38" s="25"/>
      <c r="L38" s="23">
        <f>F38-H38</f>
        <v>0</v>
      </c>
    </row>
    <row r="39" spans="1:12" x14ac:dyDescent="0.25">
      <c r="A39" s="3"/>
      <c r="D39" s="121"/>
      <c r="E39" s="28" t="s">
        <v>55</v>
      </c>
      <c r="F39" s="27">
        <f>SUM(F32:F38)</f>
        <v>-8146777.1400000006</v>
      </c>
      <c r="G39" s="28"/>
      <c r="H39" s="27">
        <f>SUM(H32:H38)</f>
        <v>-7998211.1399999997</v>
      </c>
      <c r="I39" s="28"/>
      <c r="J39" s="29">
        <f>IF(F39=0,"-",IF(H39=0,"∞",(F39-H39)/H39))</f>
        <v>1.8574903487731751E-2</v>
      </c>
      <c r="K39" s="13"/>
      <c r="L39" s="27">
        <f>F39-H39</f>
        <v>-148566.00000000093</v>
      </c>
    </row>
    <row r="40" spans="1:12" x14ac:dyDescent="0.25">
      <c r="A40" s="3"/>
      <c r="D40" s="120"/>
      <c r="E40" s="19"/>
      <c r="F40" s="20"/>
      <c r="G40" s="19"/>
      <c r="H40" s="20"/>
      <c r="I40" s="19"/>
      <c r="J40" s="31"/>
      <c r="K40" s="13"/>
      <c r="L40" s="20"/>
    </row>
    <row r="41" spans="1:12" ht="15.75" thickBot="1" x14ac:dyDescent="0.3">
      <c r="A41" s="3"/>
      <c r="D41" s="122"/>
      <c r="E41" s="36" t="s">
        <v>56</v>
      </c>
      <c r="F41" s="38">
        <f>F28+F39</f>
        <v>690292.96999999881</v>
      </c>
      <c r="G41" s="37"/>
      <c r="H41" s="38">
        <f>H28+H39</f>
        <v>975039.04</v>
      </c>
      <c r="I41" s="37"/>
      <c r="J41" s="39">
        <f>IF(F41=0,"-",IF(H41=0,"∞",(F41-H41)/H41))</f>
        <v>-0.29203555787879143</v>
      </c>
      <c r="K41" s="41"/>
      <c r="L41" s="38">
        <f>F41-H41</f>
        <v>-284746.07000000123</v>
      </c>
    </row>
    <row r="42" spans="1:12" ht="15.75" thickTop="1" x14ac:dyDescent="0.25">
      <c r="A42" s="3"/>
      <c r="D42" s="123"/>
      <c r="E42" s="42"/>
      <c r="F42" s="43"/>
      <c r="G42" s="42"/>
      <c r="H42" s="43"/>
      <c r="I42" s="42"/>
      <c r="J42" s="44"/>
      <c r="K42" s="45"/>
      <c r="L42" s="43"/>
    </row>
    <row r="43" spans="1:12" x14ac:dyDescent="0.25">
      <c r="A43" s="3"/>
      <c r="D43" s="119">
        <v>79950</v>
      </c>
      <c r="E43" s="19" t="str">
        <f>"Total Interest Income"</f>
        <v>Total Interest Income</v>
      </c>
      <c r="F43" s="20">
        <f>0</f>
        <v>0</v>
      </c>
      <c r="G43" s="19"/>
      <c r="H43" s="20">
        <f>-0.01</f>
        <v>-0.01</v>
      </c>
      <c r="I43" s="19"/>
      <c r="J43" s="21" t="str">
        <f>IF(F43=0,"-",IF(H43=0,"∞",(F43-H43)/H43))</f>
        <v>-</v>
      </c>
      <c r="K43" s="13"/>
      <c r="L43" s="20">
        <f>F43-H43</f>
        <v>0.01</v>
      </c>
    </row>
    <row r="44" spans="1:12" x14ac:dyDescent="0.25">
      <c r="A44" s="3"/>
      <c r="D44" s="119">
        <v>80600</v>
      </c>
      <c r="E44" s="19" t="str">
        <f>"Total Interest Expenses"</f>
        <v>Total Interest Expenses</v>
      </c>
      <c r="F44" s="20">
        <f>0</f>
        <v>0</v>
      </c>
      <c r="G44" s="19"/>
      <c r="H44" s="20">
        <f>0</f>
        <v>0</v>
      </c>
      <c r="I44" s="19"/>
      <c r="J44" s="21" t="str">
        <f>IF(F44=0,"-",IF(H44=0,"∞",(F44-H44)/H44))</f>
        <v>-</v>
      </c>
      <c r="K44" s="13"/>
      <c r="L44" s="20">
        <f>F44-H44</f>
        <v>0</v>
      </c>
    </row>
    <row r="45" spans="1:12" x14ac:dyDescent="0.25">
      <c r="A45" s="3"/>
      <c r="D45" s="119">
        <v>81300</v>
      </c>
      <c r="E45" s="19" t="str">
        <f>"Total Currency Gains and Losses"</f>
        <v>Total Currency Gains and Losses</v>
      </c>
      <c r="F45" s="20">
        <f>0</f>
        <v>0</v>
      </c>
      <c r="G45" s="19"/>
      <c r="H45" s="20">
        <f>0</f>
        <v>0</v>
      </c>
      <c r="I45" s="19"/>
      <c r="J45" s="21" t="str">
        <f>IF(F45=0,"-",IF(H45=0,"∞",(F45-H45)/H45))</f>
        <v>-</v>
      </c>
      <c r="K45" s="13"/>
      <c r="L45" s="20">
        <f>F45-H45</f>
        <v>0</v>
      </c>
    </row>
    <row r="46" spans="1:12" x14ac:dyDescent="0.25">
      <c r="A46" s="3"/>
      <c r="D46" s="119"/>
      <c r="E46" s="19"/>
      <c r="F46" s="20"/>
      <c r="G46" s="19"/>
      <c r="H46" s="20"/>
      <c r="I46" s="19"/>
      <c r="J46" s="31"/>
      <c r="K46" s="13"/>
      <c r="L46" s="20"/>
    </row>
    <row r="47" spans="1:12" ht="15.75" thickBot="1" x14ac:dyDescent="0.3">
      <c r="A47" s="3"/>
      <c r="D47" s="121"/>
      <c r="E47" s="36" t="s">
        <v>347</v>
      </c>
      <c r="F47" s="38">
        <f>SUM(F41:F45)</f>
        <v>690292.96999999881</v>
      </c>
      <c r="G47" s="37"/>
      <c r="H47" s="38">
        <f>SUM(H41:H45)</f>
        <v>975039.03</v>
      </c>
      <c r="I47" s="37"/>
      <c r="J47" s="39">
        <f>IF(F47=0,"-",IF(H47=0,"∞",(F47-H47)/H47))</f>
        <v>-0.29203555061790831</v>
      </c>
      <c r="K47" s="41"/>
      <c r="L47" s="38">
        <f>F47-H47</f>
        <v>-284746.06000000122</v>
      </c>
    </row>
    <row r="48" spans="1:12" ht="15.75" thickTop="1" x14ac:dyDescent="0.25">
      <c r="A48" s="3"/>
      <c r="D48" s="121"/>
      <c r="E48" s="28"/>
      <c r="F48" s="27"/>
      <c r="G48" s="28"/>
      <c r="H48" s="27"/>
      <c r="I48" s="28"/>
      <c r="J48" s="29"/>
      <c r="K48" s="46"/>
      <c r="L48" s="27"/>
    </row>
    <row r="49" spans="1:12" x14ac:dyDescent="0.25">
      <c r="A49" s="3"/>
      <c r="D49" s="119">
        <v>84300</v>
      </c>
      <c r="E49" s="19" t="str">
        <f>"Total Income Taxes"</f>
        <v>Total Income Taxes</v>
      </c>
      <c r="F49" s="20">
        <f>0</f>
        <v>0</v>
      </c>
      <c r="G49" s="19"/>
      <c r="H49" s="20">
        <f>0</f>
        <v>0</v>
      </c>
      <c r="I49" s="19"/>
      <c r="J49" s="21" t="str">
        <f>IF(F49=0,"-",IF(H49=0,"∞",(F49-H49)/H49))</f>
        <v>-</v>
      </c>
      <c r="K49" s="13"/>
      <c r="L49" s="20">
        <f>F49-H49</f>
        <v>0</v>
      </c>
    </row>
    <row r="50" spans="1:12" x14ac:dyDescent="0.25">
      <c r="A50" s="3"/>
      <c r="D50" s="120"/>
      <c r="E50" s="19"/>
      <c r="F50" s="20"/>
      <c r="G50" s="19"/>
      <c r="H50" s="20"/>
      <c r="I50" s="19"/>
      <c r="J50" s="47"/>
      <c r="K50" s="13"/>
      <c r="L50" s="20"/>
    </row>
    <row r="51" spans="1:12" ht="15.75" thickBot="1" x14ac:dyDescent="0.3">
      <c r="A51" s="3"/>
      <c r="D51" s="124"/>
      <c r="E51" s="48" t="s">
        <v>67</v>
      </c>
      <c r="F51" s="50">
        <f>SUM(F47:F49)</f>
        <v>690292.96999999881</v>
      </c>
      <c r="G51" s="50" t="e">
        <f>#REF!+#REF!</f>
        <v>#REF!</v>
      </c>
      <c r="H51" s="50">
        <f>SUM(H47:H49)</f>
        <v>975039.03</v>
      </c>
      <c r="I51" s="49"/>
      <c r="J51" s="51">
        <f>IF(F51=0,"-",IF(H51=0,"∞",(F51-H51)/H51))</f>
        <v>-0.29203555061790831</v>
      </c>
      <c r="K51" s="52"/>
      <c r="L51" s="50">
        <f>F51-H51</f>
        <v>-284746.06000000122</v>
      </c>
    </row>
    <row r="52" spans="1:12" x14ac:dyDescent="0.25">
      <c r="A52" s="3"/>
      <c r="D52" s="120"/>
      <c r="E52" s="12"/>
      <c r="F52" s="12"/>
      <c r="G52" s="12"/>
      <c r="H52" s="12"/>
      <c r="I52" s="12"/>
      <c r="J52" s="12"/>
      <c r="K52" s="12"/>
      <c r="L52" s="12"/>
    </row>
    <row r="53" spans="1:12" x14ac:dyDescent="0.25">
      <c r="A53" s="3"/>
      <c r="D53" s="120"/>
      <c r="E53" s="4"/>
      <c r="F53" s="4"/>
      <c r="G53" s="4"/>
      <c r="H53" s="4"/>
      <c r="I53" s="4"/>
      <c r="J53" s="4"/>
      <c r="K53" s="4"/>
      <c r="L53" s="4"/>
    </row>
    <row r="54" spans="1:12" x14ac:dyDescent="0.25">
      <c r="A54" s="3"/>
      <c r="D54" s="120"/>
      <c r="E54" s="4"/>
      <c r="F54" s="4"/>
      <c r="G54" s="4"/>
      <c r="H54" s="4"/>
      <c r="I54" s="4"/>
      <c r="J54" s="4"/>
      <c r="K54" s="4"/>
      <c r="L54" s="4"/>
    </row>
    <row r="55" spans="1:12" x14ac:dyDescent="0.25">
      <c r="A55" s="3"/>
      <c r="D55" s="112"/>
      <c r="E55" s="4"/>
      <c r="F55" s="4"/>
      <c r="G55" s="4"/>
      <c r="H55" s="4"/>
      <c r="I55" s="4"/>
      <c r="J55" s="4"/>
      <c r="K55" s="4"/>
      <c r="L55" s="4"/>
    </row>
    <row r="56" spans="1:12" x14ac:dyDescent="0.25">
      <c r="A56" s="3"/>
      <c r="D56" s="112"/>
      <c r="E56" s="4"/>
      <c r="F56" s="4"/>
      <c r="G56" s="4"/>
      <c r="H56" s="4"/>
      <c r="I56" s="4"/>
      <c r="J56" s="4"/>
      <c r="K56" s="4"/>
      <c r="L56" s="4"/>
    </row>
    <row r="57" spans="1:12" x14ac:dyDescent="0.25">
      <c r="A57" s="3"/>
      <c r="D57" s="112"/>
      <c r="E57" s="4"/>
      <c r="F57" s="4"/>
      <c r="G57" s="4"/>
      <c r="H57" s="4"/>
      <c r="I57" s="4"/>
      <c r="J57" s="4"/>
      <c r="K57" s="4"/>
      <c r="L57" s="4"/>
    </row>
    <row r="58" spans="1:12" x14ac:dyDescent="0.25">
      <c r="A58" s="3"/>
      <c r="D58" s="112"/>
      <c r="E58" s="4"/>
      <c r="F58" s="4"/>
      <c r="G58" s="4"/>
      <c r="H58" s="4"/>
      <c r="I58" s="4"/>
      <c r="J58" s="4"/>
      <c r="K58" s="4"/>
      <c r="L58" s="4"/>
    </row>
    <row r="59" spans="1:12" x14ac:dyDescent="0.25">
      <c r="A59" s="3"/>
      <c r="D59" s="112"/>
      <c r="E59" s="4"/>
      <c r="F59" s="4"/>
      <c r="G59" s="4"/>
      <c r="H59" s="4"/>
      <c r="I59" s="4"/>
      <c r="J59" s="4"/>
      <c r="K59" s="4"/>
      <c r="L59" s="4"/>
    </row>
    <row r="60" spans="1:12" x14ac:dyDescent="0.25">
      <c r="A60" s="3"/>
      <c r="D60" s="112"/>
      <c r="E60" s="4"/>
      <c r="F60" s="4"/>
      <c r="G60" s="4"/>
      <c r="H60" s="4"/>
      <c r="I60" s="4"/>
      <c r="J60" s="4"/>
      <c r="K60" s="4"/>
      <c r="L60" s="4"/>
    </row>
    <row r="61" spans="1:12" x14ac:dyDescent="0.25">
      <c r="A61" s="3"/>
      <c r="D61" s="112"/>
      <c r="E61" s="4"/>
      <c r="F61" s="4"/>
      <c r="G61" s="4"/>
      <c r="H61" s="4"/>
      <c r="I61" s="4"/>
      <c r="J61" s="4"/>
      <c r="K61" s="4"/>
      <c r="L61" s="4"/>
    </row>
    <row r="62" spans="1:12" x14ac:dyDescent="0.25">
      <c r="A62" s="3"/>
      <c r="D62" s="112"/>
      <c r="E62" s="4"/>
      <c r="F62" s="4"/>
      <c r="G62" s="4"/>
      <c r="H62" s="4"/>
      <c r="I62" s="4"/>
      <c r="J62" s="4"/>
      <c r="K62" s="4"/>
      <c r="L62" s="4"/>
    </row>
    <row r="63" spans="1:12" x14ac:dyDescent="0.25">
      <c r="A63" s="3"/>
      <c r="D63" s="112"/>
      <c r="E63" s="4"/>
      <c r="F63" s="4"/>
      <c r="G63" s="4"/>
      <c r="H63" s="4"/>
      <c r="I63" s="4"/>
      <c r="J63" s="4"/>
      <c r="K63" s="4"/>
      <c r="L63" s="4"/>
    </row>
    <row r="64" spans="1:12" x14ac:dyDescent="0.25">
      <c r="A64" s="3"/>
      <c r="D64" s="112"/>
      <c r="E64" s="4"/>
      <c r="F64" s="4"/>
      <c r="G64" s="4"/>
      <c r="H64" s="4"/>
      <c r="I64" s="4"/>
      <c r="J64" s="4"/>
      <c r="K64" s="4"/>
      <c r="L64" s="4"/>
    </row>
    <row r="65" spans="1:12" x14ac:dyDescent="0.25">
      <c r="A65" s="3"/>
      <c r="D65" s="112"/>
      <c r="E65" s="4"/>
      <c r="F65" s="4"/>
      <c r="G65" s="4"/>
      <c r="H65" s="4"/>
      <c r="I65" s="4"/>
      <c r="J65" s="4"/>
      <c r="K65" s="4"/>
      <c r="L65" s="4"/>
    </row>
    <row r="66" spans="1:12" x14ac:dyDescent="0.25">
      <c r="A66" s="3"/>
      <c r="D66" s="112"/>
      <c r="E66" s="4"/>
      <c r="F66" s="4"/>
      <c r="G66" s="4"/>
      <c r="H66" s="4"/>
      <c r="I66" s="4"/>
      <c r="J66" s="4"/>
      <c r="K66" s="4"/>
      <c r="L66" s="4"/>
    </row>
    <row r="67" spans="1:12" x14ac:dyDescent="0.25">
      <c r="A67" s="3"/>
      <c r="D67" s="112"/>
      <c r="E67" s="4"/>
      <c r="F67" s="4"/>
      <c r="G67" s="4"/>
      <c r="H67" s="4"/>
      <c r="I67" s="4"/>
      <c r="J67" s="4"/>
      <c r="K67" s="4"/>
      <c r="L67" s="4"/>
    </row>
    <row r="68" spans="1:12" x14ac:dyDescent="0.25">
      <c r="A68" s="3"/>
      <c r="D68" s="112"/>
      <c r="E68" s="4"/>
      <c r="F68" s="4"/>
      <c r="G68" s="4"/>
      <c r="H68" s="4"/>
      <c r="I68" s="4"/>
      <c r="J68" s="4"/>
      <c r="K68" s="4"/>
      <c r="L68" s="4"/>
    </row>
    <row r="69" spans="1:12" x14ac:dyDescent="0.25">
      <c r="A69" s="3"/>
      <c r="D69" s="112"/>
      <c r="E69" s="4"/>
      <c r="F69" s="4"/>
      <c r="G69" s="4"/>
      <c r="H69" s="4"/>
      <c r="I69" s="4"/>
      <c r="J69" s="4"/>
      <c r="K69" s="4"/>
      <c r="L69" s="4"/>
    </row>
    <row r="70" spans="1:12" x14ac:dyDescent="0.25">
      <c r="A70" s="3"/>
      <c r="D70" s="112"/>
      <c r="E70" s="4"/>
      <c r="F70" s="4"/>
      <c r="G70" s="4"/>
      <c r="H70" s="4"/>
      <c r="I70" s="4"/>
      <c r="J70" s="4"/>
      <c r="K70" s="4"/>
      <c r="L70" s="4"/>
    </row>
    <row r="71" spans="1:12" x14ac:dyDescent="0.25">
      <c r="A71" s="3"/>
      <c r="D71" s="112"/>
      <c r="E71" s="4"/>
      <c r="F71" s="4"/>
      <c r="G71" s="4"/>
      <c r="H71" s="4"/>
      <c r="I71" s="4"/>
      <c r="J71" s="4"/>
      <c r="K71" s="4"/>
      <c r="L71" s="4"/>
    </row>
    <row r="72" spans="1:12" x14ac:dyDescent="0.25">
      <c r="A72" s="3"/>
      <c r="D72" s="112"/>
      <c r="E72" s="4"/>
      <c r="F72" s="4"/>
      <c r="G72" s="4"/>
      <c r="H72" s="4"/>
      <c r="I72" s="4"/>
      <c r="J72" s="4"/>
      <c r="K72" s="4"/>
      <c r="L72" s="4"/>
    </row>
    <row r="73" spans="1:12" x14ac:dyDescent="0.25">
      <c r="A73" s="3"/>
      <c r="D73" s="112"/>
      <c r="E73" s="4"/>
      <c r="F73" s="4"/>
      <c r="G73" s="4"/>
      <c r="H73" s="4"/>
      <c r="I73" s="4"/>
      <c r="J73" s="4"/>
      <c r="K73" s="4"/>
      <c r="L73" s="4"/>
    </row>
    <row r="74" spans="1:12" x14ac:dyDescent="0.25">
      <c r="A74" s="3"/>
      <c r="D74" s="112"/>
      <c r="E74" s="4"/>
      <c r="F74" s="4"/>
      <c r="G74" s="4"/>
      <c r="H74" s="4"/>
      <c r="I74" s="4"/>
      <c r="J74" s="4"/>
      <c r="K74" s="4"/>
      <c r="L74" s="4"/>
    </row>
    <row r="75" spans="1:12" x14ac:dyDescent="0.25">
      <c r="A75" s="3"/>
      <c r="D75" s="112"/>
      <c r="E75" s="4"/>
      <c r="F75" s="4"/>
      <c r="G75" s="4"/>
      <c r="H75" s="4"/>
      <c r="I75" s="4"/>
      <c r="J75" s="4"/>
      <c r="K75" s="4"/>
      <c r="L75" s="4"/>
    </row>
    <row r="76" spans="1:12" x14ac:dyDescent="0.25">
      <c r="A76" s="3"/>
      <c r="D76" s="112"/>
      <c r="E76" s="4"/>
      <c r="F76" s="4"/>
      <c r="G76" s="4"/>
      <c r="H76" s="4"/>
      <c r="I76" s="4"/>
      <c r="J76" s="4"/>
      <c r="K76" s="4"/>
      <c r="L76" s="4"/>
    </row>
    <row r="77" spans="1:12" x14ac:dyDescent="0.25">
      <c r="A77" s="3"/>
      <c r="D77" s="112"/>
      <c r="E77" s="4"/>
      <c r="F77" s="4"/>
      <c r="G77" s="4"/>
      <c r="H77" s="4"/>
      <c r="I77" s="4"/>
      <c r="J77" s="4"/>
      <c r="K77" s="4"/>
      <c r="L77" s="4"/>
    </row>
    <row r="78" spans="1:12" x14ac:dyDescent="0.25">
      <c r="A78" s="3"/>
      <c r="D78" s="112"/>
      <c r="E78" s="4"/>
      <c r="F78" s="4"/>
      <c r="G78" s="4"/>
      <c r="H78" s="4"/>
      <c r="I78" s="4"/>
      <c r="J78" s="4"/>
      <c r="K78" s="4"/>
      <c r="L78" s="4"/>
    </row>
  </sheetData>
  <mergeCells count="4">
    <mergeCell ref="D8:H8"/>
    <mergeCell ref="D9:H9"/>
    <mergeCell ref="J9:L9"/>
    <mergeCell ref="B8:B11"/>
  </mergeCell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742</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743</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744</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745</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756</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756</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757</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757</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758</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758</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topLeftCell="C2" zoomScale="80" zoomScaleNormal="80" workbookViewId="0"/>
  </sheetViews>
  <sheetFormatPr defaultColWidth="9.140625" defaultRowHeight="12.75" x14ac:dyDescent="0.2"/>
  <cols>
    <col min="1" max="1" width="11.28515625" style="5" hidden="1" customWidth="1"/>
    <col min="2" max="2" width="16.7109375" style="6" hidden="1" customWidth="1"/>
    <col min="3" max="3" width="3.28515625" style="6" customWidth="1"/>
    <col min="4" max="4" width="11.140625" style="6" customWidth="1"/>
    <col min="5" max="5" width="4.28515625" style="6" customWidth="1"/>
    <col min="6" max="6" width="30.28515625" style="6" customWidth="1"/>
    <col min="7" max="7" width="3.7109375" style="6" customWidth="1"/>
    <col min="8" max="8" width="20.7109375" style="6" customWidth="1"/>
    <col min="9" max="9" width="11.28515625" style="6" customWidth="1"/>
    <col min="10" max="10" width="9.140625" style="6"/>
    <col min="11" max="11" width="19.28515625" style="6" customWidth="1"/>
    <col min="12" max="12" width="16" style="6" customWidth="1"/>
    <col min="13" max="13" width="14.28515625" style="6" customWidth="1"/>
    <col min="14" max="16384" width="9.140625" style="6"/>
  </cols>
  <sheetData>
    <row r="1" spans="1:15" s="2" customFormat="1" hidden="1" x14ac:dyDescent="0.2">
      <c r="A1" s="109" t="s">
        <v>834</v>
      </c>
      <c r="B1" s="2" t="s">
        <v>346</v>
      </c>
    </row>
    <row r="2" spans="1:15" ht="12.75" customHeight="1" x14ac:dyDescent="0.2"/>
    <row r="3" spans="1:15" ht="18" x14ac:dyDescent="0.25">
      <c r="D3" s="7" t="s">
        <v>68</v>
      </c>
      <c r="E3" s="7"/>
      <c r="F3" s="53"/>
      <c r="G3" s="53"/>
      <c r="H3" s="54"/>
      <c r="I3" s="54"/>
      <c r="J3" s="7"/>
      <c r="K3" s="53"/>
      <c r="L3" s="54"/>
      <c r="M3" s="7"/>
      <c r="N3" s="53"/>
      <c r="O3" s="54"/>
    </row>
    <row r="4" spans="1:15" ht="12.75" customHeight="1" x14ac:dyDescent="0.2">
      <c r="C4" s="125"/>
    </row>
    <row r="5" spans="1:15" ht="18" x14ac:dyDescent="0.25">
      <c r="A5" s="110"/>
      <c r="C5" s="125"/>
      <c r="D5" s="272" t="str">
        <f>Options!D6</f>
        <v>12/12/2018</v>
      </c>
      <c r="E5" s="272"/>
    </row>
    <row r="6" spans="1:15" x14ac:dyDescent="0.2">
      <c r="C6" s="125"/>
      <c r="D6" s="5"/>
      <c r="E6" s="5"/>
    </row>
    <row r="7" spans="1:15" x14ac:dyDescent="0.2">
      <c r="C7" s="125"/>
    </row>
    <row r="8" spans="1:15" ht="15" x14ac:dyDescent="0.25">
      <c r="A8" s="100"/>
      <c r="C8" s="125"/>
      <c r="D8" s="14" t="s">
        <v>69</v>
      </c>
      <c r="F8" s="55"/>
      <c r="G8" s="55"/>
      <c r="H8" s="56"/>
    </row>
    <row r="9" spans="1:15" ht="15" x14ac:dyDescent="0.25">
      <c r="A9" s="100"/>
      <c r="D9" s="4"/>
      <c r="F9" s="61" t="s">
        <v>72</v>
      </c>
      <c r="G9" s="61"/>
      <c r="H9" s="130"/>
    </row>
    <row r="10" spans="1:15" ht="15" x14ac:dyDescent="0.25">
      <c r="A10" s="100"/>
      <c r="D10" s="111">
        <v>11700</v>
      </c>
      <c r="E10" s="4"/>
      <c r="F10" s="136" t="str">
        <f>"Liquid Assets, Total"</f>
        <v>Liquid Assets, Total</v>
      </c>
      <c r="G10" s="4"/>
      <c r="H10" s="128">
        <f>11098785.61</f>
        <v>11098785.609999999</v>
      </c>
    </row>
    <row r="11" spans="1:15" ht="15" x14ac:dyDescent="0.25">
      <c r="A11" s="100"/>
      <c r="B11" s="271" t="s">
        <v>345</v>
      </c>
      <c r="D11" s="111">
        <v>12300</v>
      </c>
      <c r="E11" s="4"/>
      <c r="F11" s="136" t="str">
        <f>"Securities, Total"</f>
        <v>Securities, Total</v>
      </c>
      <c r="G11" s="4"/>
      <c r="H11" s="128">
        <f>0</f>
        <v>0</v>
      </c>
    </row>
    <row r="12" spans="1:15" ht="15" x14ac:dyDescent="0.25">
      <c r="A12" s="100"/>
      <c r="B12" s="271"/>
      <c r="D12" s="111">
        <v>13400</v>
      </c>
      <c r="E12" s="4"/>
      <c r="F12" s="136" t="str">
        <f>"Accounts Receivable, Total"</f>
        <v>Accounts Receivable, Total</v>
      </c>
      <c r="G12" s="4"/>
      <c r="H12" s="128">
        <f>40290644.94</f>
        <v>40290644.939999998</v>
      </c>
    </row>
    <row r="13" spans="1:15" ht="15" x14ac:dyDescent="0.25">
      <c r="A13" s="100"/>
      <c r="B13" s="271"/>
      <c r="D13" s="111">
        <v>13540</v>
      </c>
      <c r="E13" s="4"/>
      <c r="F13" s="136" t="str">
        <f>"Purchase Prepayments, Total"</f>
        <v>Purchase Prepayments, Total</v>
      </c>
      <c r="G13" s="4"/>
      <c r="H13" s="128">
        <f>0</f>
        <v>0</v>
      </c>
    </row>
    <row r="14" spans="1:15" ht="15" x14ac:dyDescent="0.25">
      <c r="A14" s="100"/>
      <c r="B14" s="271"/>
      <c r="D14" s="111">
        <v>14500</v>
      </c>
      <c r="E14" s="4"/>
      <c r="F14" s="136" t="str">
        <f>"Inventory, Total"</f>
        <v>Inventory, Total</v>
      </c>
      <c r="G14" s="4"/>
      <c r="H14" s="128">
        <f>11284026.65</f>
        <v>11284026.65</v>
      </c>
    </row>
    <row r="15" spans="1:15" ht="15" x14ac:dyDescent="0.25">
      <c r="A15" s="100"/>
      <c r="D15" s="111">
        <v>15300</v>
      </c>
      <c r="E15" s="4"/>
      <c r="F15" s="136" t="str">
        <f>""</f>
        <v/>
      </c>
      <c r="G15" s="4"/>
      <c r="H15" s="128">
        <f>0</f>
        <v>0</v>
      </c>
    </row>
    <row r="16" spans="1:15" ht="15" x14ac:dyDescent="0.25">
      <c r="A16" s="100"/>
      <c r="D16" s="4"/>
      <c r="E16" s="4"/>
      <c r="F16" s="59" t="s">
        <v>78</v>
      </c>
      <c r="G16" s="60"/>
      <c r="H16" s="129">
        <f>SUM(H10:H15)</f>
        <v>62673457.199999996</v>
      </c>
    </row>
    <row r="17" spans="1:13" ht="15" x14ac:dyDescent="0.25">
      <c r="A17" s="100"/>
      <c r="D17" s="14"/>
      <c r="F17" s="55"/>
      <c r="G17" s="55"/>
      <c r="H17" s="56"/>
    </row>
    <row r="18" spans="1:13" ht="15" x14ac:dyDescent="0.25">
      <c r="A18" s="100"/>
      <c r="D18" s="4"/>
      <c r="F18" s="57" t="s">
        <v>79</v>
      </c>
      <c r="G18" s="57"/>
      <c r="H18" s="127"/>
    </row>
    <row r="19" spans="1:13" ht="15" x14ac:dyDescent="0.25">
      <c r="A19" s="100"/>
      <c r="D19" s="111">
        <v>16400</v>
      </c>
      <c r="E19" s="4"/>
      <c r="F19" s="136" t="str">
        <f>"Vehicles, Total"</f>
        <v>Vehicles, Total</v>
      </c>
      <c r="G19" s="4"/>
      <c r="H19" s="128">
        <f>0</f>
        <v>0</v>
      </c>
    </row>
    <row r="20" spans="1:13" ht="15" x14ac:dyDescent="0.25">
      <c r="D20" s="111">
        <v>17300</v>
      </c>
      <c r="E20" s="4"/>
      <c r="F20" s="136" t="str">
        <f>"Operating Equipment, Total"</f>
        <v>Operating Equipment, Total</v>
      </c>
      <c r="G20" s="4"/>
      <c r="H20" s="128">
        <f>0</f>
        <v>0</v>
      </c>
      <c r="K20" s="6" t="s">
        <v>73</v>
      </c>
      <c r="L20" s="6" t="s">
        <v>74</v>
      </c>
    </row>
    <row r="21" spans="1:13" ht="15" x14ac:dyDescent="0.25">
      <c r="D21" s="111">
        <v>18300</v>
      </c>
      <c r="E21" s="4"/>
      <c r="F21" s="136" t="str">
        <f>"Land and Buildings, Total"</f>
        <v>Land and Buildings, Total</v>
      </c>
      <c r="G21" s="4"/>
      <c r="H21" s="128">
        <f>0</f>
        <v>0</v>
      </c>
      <c r="K21" s="6" t="s">
        <v>75</v>
      </c>
      <c r="L21" s="6" t="s">
        <v>76</v>
      </c>
      <c r="M21" s="6" t="s">
        <v>77</v>
      </c>
    </row>
    <row r="22" spans="1:13" x14ac:dyDescent="0.2">
      <c r="D22" s="4"/>
      <c r="E22" s="4"/>
      <c r="F22" s="59" t="s">
        <v>78</v>
      </c>
      <c r="G22" s="60"/>
      <c r="H22" s="129">
        <f>SUM(H19:H21)</f>
        <v>0</v>
      </c>
      <c r="K22" s="58">
        <f>H16</f>
        <v>62673457.199999996</v>
      </c>
      <c r="L22" s="58">
        <f>H22</f>
        <v>0</v>
      </c>
      <c r="M22" s="58"/>
    </row>
    <row r="23" spans="1:13" x14ac:dyDescent="0.2">
      <c r="A23" s="11"/>
      <c r="D23" s="4"/>
      <c r="E23" s="4"/>
      <c r="F23" s="4"/>
      <c r="G23" s="4"/>
      <c r="H23" s="128"/>
      <c r="K23" s="135">
        <f>H37</f>
        <v>52615150.579999998</v>
      </c>
      <c r="L23" s="135">
        <f>H43</f>
        <v>0</v>
      </c>
      <c r="M23" s="135">
        <f>H51</f>
        <v>10058306.620000001</v>
      </c>
    </row>
    <row r="24" spans="1:13" x14ac:dyDescent="0.2">
      <c r="A24" s="11"/>
      <c r="D24" s="4"/>
      <c r="E24" s="4"/>
      <c r="F24" s="4"/>
      <c r="G24" s="4"/>
      <c r="H24" s="128"/>
    </row>
    <row r="25" spans="1:13" ht="15.75" thickBot="1" x14ac:dyDescent="0.3">
      <c r="A25" s="11"/>
      <c r="D25" s="63" t="s">
        <v>80</v>
      </c>
      <c r="E25" s="63"/>
      <c r="F25" s="63"/>
      <c r="G25" s="63"/>
      <c r="H25" s="131">
        <f>H22+H16</f>
        <v>62673457.199999996</v>
      </c>
      <c r="K25" s="6" t="str">
        <f>D8</f>
        <v>ASSETS</v>
      </c>
    </row>
    <row r="26" spans="1:13" ht="13.5" thickTop="1" x14ac:dyDescent="0.2">
      <c r="D26" s="4"/>
      <c r="E26" s="4"/>
      <c r="F26" s="4"/>
      <c r="G26" s="4"/>
      <c r="H26" s="128"/>
      <c r="K26" s="6" t="str">
        <f>D28</f>
        <v>LIABILITIES AND EQUITY</v>
      </c>
    </row>
    <row r="27" spans="1:13" x14ac:dyDescent="0.2">
      <c r="D27" s="4"/>
      <c r="E27" s="4"/>
      <c r="F27" s="4"/>
      <c r="G27" s="4"/>
      <c r="H27" s="128"/>
    </row>
    <row r="28" spans="1:13" ht="15" x14ac:dyDescent="0.25">
      <c r="D28" s="14" t="s">
        <v>81</v>
      </c>
      <c r="E28" s="4"/>
      <c r="F28" s="4"/>
      <c r="G28" s="4"/>
      <c r="H28" s="128"/>
    </row>
    <row r="29" spans="1:13" ht="15" x14ac:dyDescent="0.25">
      <c r="D29" s="66"/>
      <c r="F29" s="66" t="s">
        <v>82</v>
      </c>
      <c r="G29" s="66"/>
      <c r="H29" s="133"/>
    </row>
    <row r="30" spans="1:13" ht="15" x14ac:dyDescent="0.25">
      <c r="D30" s="111">
        <v>22100</v>
      </c>
      <c r="E30" s="4"/>
      <c r="F30" s="136" t="str">
        <f>"Revolving Credit"</f>
        <v>Revolving Credit</v>
      </c>
      <c r="G30" s="4"/>
      <c r="H30" s="128">
        <f>0</f>
        <v>0</v>
      </c>
    </row>
    <row r="31" spans="1:13" ht="15" x14ac:dyDescent="0.25">
      <c r="D31" s="111">
        <v>22190</v>
      </c>
      <c r="E31" s="4"/>
      <c r="F31" s="136" t="str">
        <f>"Sales Prepayments, Total"</f>
        <v>Sales Prepayments, Total</v>
      </c>
      <c r="G31" s="4"/>
      <c r="H31" s="128">
        <f>0</f>
        <v>0</v>
      </c>
    </row>
    <row r="32" spans="1:13" ht="12.75" customHeight="1" x14ac:dyDescent="0.25">
      <c r="A32" s="11"/>
      <c r="D32" s="111">
        <v>22500</v>
      </c>
      <c r="E32" s="4"/>
      <c r="F32" s="136" t="str">
        <f>"Accounts Payable, Total"</f>
        <v>Accounts Payable, Total</v>
      </c>
      <c r="G32" s="4"/>
      <c r="H32" s="128">
        <f>52615150.58</f>
        <v>52615150.579999998</v>
      </c>
    </row>
    <row r="33" spans="1:12" ht="15" x14ac:dyDescent="0.25">
      <c r="A33" s="11"/>
      <c r="D33" s="111">
        <v>22590</v>
      </c>
      <c r="E33" s="4"/>
      <c r="F33" s="136" t="str">
        <f>"Inv. Adjmt. (Interim), Total"</f>
        <v>Inv. Adjmt. (Interim), Total</v>
      </c>
      <c r="G33" s="4"/>
      <c r="H33" s="128">
        <f>0</f>
        <v>0</v>
      </c>
    </row>
    <row r="34" spans="1:12" ht="15" x14ac:dyDescent="0.25">
      <c r="A34" s="11"/>
      <c r="D34" s="111">
        <v>22790</v>
      </c>
      <c r="E34" s="4"/>
      <c r="F34" s="136" t="str">
        <f>"Taxes Payables, Total"</f>
        <v>Taxes Payables, Total</v>
      </c>
      <c r="G34" s="4"/>
      <c r="H34" s="128">
        <f>0</f>
        <v>0</v>
      </c>
      <c r="L34" s="58"/>
    </row>
    <row r="35" spans="1:12" ht="15" x14ac:dyDescent="0.25">
      <c r="A35" s="11"/>
      <c r="D35" s="111">
        <v>23900</v>
      </c>
      <c r="E35" s="4"/>
      <c r="F35" s="136" t="str">
        <f>"Total Personnel-related Items"</f>
        <v>Total Personnel-related Items</v>
      </c>
      <c r="G35" s="4"/>
      <c r="H35" s="128">
        <f>0</f>
        <v>0</v>
      </c>
      <c r="L35" s="58"/>
    </row>
    <row r="36" spans="1:12" ht="15" x14ac:dyDescent="0.25">
      <c r="A36" s="11"/>
      <c r="D36" s="111">
        <v>24400</v>
      </c>
      <c r="E36" s="4"/>
      <c r="F36" s="136" t="str">
        <f>"Other Liabilities, Total"</f>
        <v>Other Liabilities, Total</v>
      </c>
      <c r="G36" s="4"/>
      <c r="H36" s="128">
        <f>0</f>
        <v>0</v>
      </c>
      <c r="L36" s="58"/>
    </row>
    <row r="37" spans="1:12" x14ac:dyDescent="0.2">
      <c r="A37" s="11"/>
      <c r="D37" s="4"/>
      <c r="E37" s="4"/>
      <c r="F37" s="59" t="s">
        <v>78</v>
      </c>
      <c r="G37" s="60"/>
      <c r="H37" s="129">
        <f>SUM(H30:H36)</f>
        <v>52615150.579999998</v>
      </c>
    </row>
    <row r="38" spans="1:12" ht="15" x14ac:dyDescent="0.25">
      <c r="A38" s="11"/>
      <c r="D38" s="14"/>
      <c r="F38" s="64"/>
      <c r="G38" s="65"/>
      <c r="H38" s="132"/>
    </row>
    <row r="39" spans="1:12" ht="15" x14ac:dyDescent="0.25">
      <c r="D39" s="4"/>
      <c r="F39" s="68" t="s">
        <v>83</v>
      </c>
      <c r="G39" s="68"/>
      <c r="H39" s="134"/>
    </row>
    <row r="40" spans="1:12" ht="15" x14ac:dyDescent="0.25">
      <c r="D40" s="111">
        <v>25100</v>
      </c>
      <c r="E40" s="4"/>
      <c r="F40" s="136" t="str">
        <f>"Long-term Bank Loans"</f>
        <v>Long-term Bank Loans</v>
      </c>
      <c r="G40" s="4"/>
      <c r="H40" s="128">
        <f>0</f>
        <v>0</v>
      </c>
    </row>
    <row r="41" spans="1:12" ht="15" x14ac:dyDescent="0.25">
      <c r="D41" s="111">
        <v>25200</v>
      </c>
      <c r="E41" s="4"/>
      <c r="F41" s="136" t="str">
        <f>"Mortgage"</f>
        <v>Mortgage</v>
      </c>
      <c r="G41" s="4"/>
      <c r="H41" s="128">
        <f>0</f>
        <v>0</v>
      </c>
    </row>
    <row r="42" spans="1:12" ht="15" x14ac:dyDescent="0.25">
      <c r="D42" s="111">
        <v>25300</v>
      </c>
      <c r="E42" s="4"/>
      <c r="F42" s="136" t="str">
        <f>"Deferred Taxes"</f>
        <v>Deferred Taxes</v>
      </c>
      <c r="G42" s="4"/>
      <c r="H42" s="128">
        <f>0</f>
        <v>0</v>
      </c>
    </row>
    <row r="43" spans="1:12" x14ac:dyDescent="0.2">
      <c r="D43" s="4"/>
      <c r="E43" s="4"/>
      <c r="F43" s="59" t="s">
        <v>78</v>
      </c>
      <c r="G43" s="60"/>
      <c r="H43" s="129">
        <f>SUM(H40:H42)</f>
        <v>0</v>
      </c>
    </row>
    <row r="44" spans="1:12" x14ac:dyDescent="0.2">
      <c r="D44" s="4"/>
      <c r="E44" s="4"/>
      <c r="F44" s="4"/>
      <c r="G44" s="4"/>
      <c r="H44" s="128"/>
    </row>
    <row r="45" spans="1:12" ht="15" x14ac:dyDescent="0.25">
      <c r="D45" s="137"/>
      <c r="E45" s="137"/>
      <c r="F45" s="137" t="s">
        <v>84</v>
      </c>
      <c r="G45" s="137"/>
      <c r="H45" s="138">
        <f>H43+H37</f>
        <v>52615150.579999998</v>
      </c>
    </row>
    <row r="47" spans="1:12" ht="15" x14ac:dyDescent="0.25">
      <c r="D47" s="14"/>
      <c r="E47" s="68"/>
      <c r="F47" s="66" t="s">
        <v>349</v>
      </c>
      <c r="G47" s="35"/>
      <c r="H47" s="128"/>
    </row>
    <row r="48" spans="1:12" ht="15" x14ac:dyDescent="0.25">
      <c r="D48" s="111">
        <v>30100</v>
      </c>
      <c r="E48" s="4"/>
      <c r="F48" s="136" t="str">
        <f>"Capital Stock"</f>
        <v>Capital Stock</v>
      </c>
      <c r="G48" s="4"/>
      <c r="H48" s="128">
        <f>0</f>
        <v>0</v>
      </c>
    </row>
    <row r="49" spans="1:13" ht="15" x14ac:dyDescent="0.25">
      <c r="D49" s="111">
        <v>30200</v>
      </c>
      <c r="E49" s="4"/>
      <c r="F49" s="136" t="str">
        <f>"Retained Earnings"</f>
        <v>Retained Earnings</v>
      </c>
      <c r="G49" s="4"/>
      <c r="H49" s="128">
        <f>9368013.65</f>
        <v>9368013.6500000004</v>
      </c>
    </row>
    <row r="50" spans="1:13" ht="15" x14ac:dyDescent="0.25">
      <c r="D50" s="111">
        <v>30400</v>
      </c>
      <c r="E50" s="4"/>
      <c r="F50" s="136" t="str">
        <f>"Net Income for the Year"</f>
        <v>Net Income for the Year</v>
      </c>
      <c r="G50" s="4"/>
      <c r="H50" s="128">
        <f>690292.97</f>
        <v>690292.97</v>
      </c>
    </row>
    <row r="51" spans="1:13" x14ac:dyDescent="0.2">
      <c r="D51" s="140"/>
      <c r="E51" s="4"/>
      <c r="F51" s="59" t="s">
        <v>78</v>
      </c>
      <c r="G51" s="60"/>
      <c r="H51" s="129">
        <f>SUM(H48:H50)</f>
        <v>10058306.620000001</v>
      </c>
    </row>
    <row r="52" spans="1:13" x14ac:dyDescent="0.2">
      <c r="D52" s="4"/>
      <c r="E52" s="4"/>
      <c r="F52" s="4"/>
      <c r="G52" s="4"/>
      <c r="H52" s="128"/>
    </row>
    <row r="53" spans="1:13" ht="15.75" thickBot="1" x14ac:dyDescent="0.3">
      <c r="A53" s="11"/>
      <c r="D53" s="63" t="s">
        <v>85</v>
      </c>
      <c r="E53" s="63"/>
      <c r="F53" s="63"/>
      <c r="G53" s="63"/>
      <c r="H53" s="131">
        <f>H45+H51</f>
        <v>62673457.200000003</v>
      </c>
      <c r="M53" s="67"/>
    </row>
    <row r="54" spans="1:13" ht="13.5" thickTop="1" x14ac:dyDescent="0.2">
      <c r="A54" s="11"/>
      <c r="H54" s="135"/>
    </row>
    <row r="55" spans="1:13" x14ac:dyDescent="0.2">
      <c r="A55" s="11"/>
      <c r="I55" s="62"/>
    </row>
    <row r="56" spans="1:13" x14ac:dyDescent="0.2">
      <c r="A56" s="11"/>
    </row>
    <row r="58" spans="1:13" x14ac:dyDescent="0.2">
      <c r="A58" s="11"/>
    </row>
    <row r="59" spans="1:13" x14ac:dyDescent="0.2">
      <c r="A59" s="11"/>
      <c r="K59" s="62"/>
    </row>
    <row r="60" spans="1:13" x14ac:dyDescent="0.2">
      <c r="A60" s="11"/>
    </row>
    <row r="61" spans="1:13" x14ac:dyDescent="0.2">
      <c r="A61" s="11"/>
    </row>
    <row r="75" spans="11:11" x14ac:dyDescent="0.2">
      <c r="K75" s="135"/>
    </row>
  </sheetData>
  <mergeCells count="2">
    <mergeCell ref="D5:E5"/>
    <mergeCell ref="B11:B14"/>
  </mergeCells>
  <pageMargins left="0.25" right="0.25" top="0.75" bottom="0.75" header="0.3" footer="0.3"/>
  <pageSetup scale="51" fitToHeight="2" orientation="portrait" r:id="rId1"/>
  <headerFooter alignWithMargins="0">
    <oddHeader xml:space="preserve">&amp;RGL Balance by Period
&amp;D
</oddHeader>
    <oddFooter>&amp;R&amp;8Page &amp;P of &amp;N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heetViews>
  <sheetFormatPr defaultRowHeight="15" x14ac:dyDescent="0.25"/>
  <sheetData>
    <row r="1" spans="1:12" x14ac:dyDescent="0.25">
      <c r="A1" s="106" t="s">
        <v>759</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397</v>
      </c>
      <c r="E13" s="106" t="s">
        <v>398</v>
      </c>
      <c r="F13" s="106" t="s">
        <v>399</v>
      </c>
      <c r="H13" s="106" t="s">
        <v>400</v>
      </c>
      <c r="J13" s="106" t="s">
        <v>155</v>
      </c>
      <c r="L13" s="106" t="s">
        <v>156</v>
      </c>
    </row>
    <row r="14" spans="1:12" x14ac:dyDescent="0.25">
      <c r="D14" s="106" t="s">
        <v>401</v>
      </c>
      <c r="E14" s="106" t="s">
        <v>402</v>
      </c>
      <c r="F14" s="106" t="s">
        <v>403</v>
      </c>
      <c r="H14" s="106" t="s">
        <v>404</v>
      </c>
      <c r="J14" s="106" t="s">
        <v>162</v>
      </c>
      <c r="L14" s="106" t="s">
        <v>163</v>
      </c>
    </row>
    <row r="15" spans="1:12" x14ac:dyDescent="0.25">
      <c r="D15" s="106" t="s">
        <v>405</v>
      </c>
      <c r="E15" s="106" t="s">
        <v>406</v>
      </c>
      <c r="F15" s="106" t="s">
        <v>407</v>
      </c>
      <c r="H15" s="106" t="s">
        <v>408</v>
      </c>
      <c r="J15" s="106" t="s">
        <v>168</v>
      </c>
      <c r="L15" s="106" t="s">
        <v>169</v>
      </c>
    </row>
    <row r="16" spans="1:12" x14ac:dyDescent="0.25">
      <c r="D16" s="106" t="s">
        <v>409</v>
      </c>
      <c r="E16" s="106" t="s">
        <v>410</v>
      </c>
      <c r="F16" s="106" t="s">
        <v>411</v>
      </c>
      <c r="H16" s="106" t="s">
        <v>412</v>
      </c>
      <c r="J16" s="106" t="s">
        <v>174</v>
      </c>
      <c r="L16" s="106" t="s">
        <v>175</v>
      </c>
    </row>
    <row r="17" spans="4:12" x14ac:dyDescent="0.25">
      <c r="D17" s="106" t="s">
        <v>413</v>
      </c>
      <c r="E17" s="106" t="s">
        <v>414</v>
      </c>
      <c r="F17" s="106" t="s">
        <v>415</v>
      </c>
      <c r="H17" s="106" t="s">
        <v>416</v>
      </c>
      <c r="J17" s="106" t="s">
        <v>180</v>
      </c>
      <c r="L17" s="106" t="s">
        <v>181</v>
      </c>
    </row>
    <row r="18" spans="4:12" x14ac:dyDescent="0.25">
      <c r="D18" s="106" t="s">
        <v>417</v>
      </c>
      <c r="E18" s="106" t="s">
        <v>418</v>
      </c>
      <c r="F18" s="106" t="s">
        <v>419</v>
      </c>
      <c r="H18" s="106" t="s">
        <v>420</v>
      </c>
      <c r="J18" s="106" t="s">
        <v>186</v>
      </c>
      <c r="L18" s="106" t="s">
        <v>187</v>
      </c>
    </row>
    <row r="19" spans="4:12" x14ac:dyDescent="0.25">
      <c r="D19" s="106" t="s">
        <v>421</v>
      </c>
      <c r="E19" s="106" t="s">
        <v>422</v>
      </c>
      <c r="F19" s="106" t="s">
        <v>423</v>
      </c>
      <c r="H19" s="106" t="s">
        <v>424</v>
      </c>
      <c r="J19" s="106" t="s">
        <v>425</v>
      </c>
      <c r="L19" s="106" t="s">
        <v>426</v>
      </c>
    </row>
    <row r="20" spans="4:12" x14ac:dyDescent="0.25">
      <c r="D20" s="106" t="s">
        <v>427</v>
      </c>
      <c r="E20" s="106" t="s">
        <v>428</v>
      </c>
      <c r="F20" s="106" t="s">
        <v>429</v>
      </c>
      <c r="H20" s="106" t="s">
        <v>430</v>
      </c>
      <c r="J20" s="106" t="s">
        <v>431</v>
      </c>
      <c r="L20" s="106" t="s">
        <v>432</v>
      </c>
    </row>
    <row r="21" spans="4:12" x14ac:dyDescent="0.25">
      <c r="E21" s="106" t="s">
        <v>25</v>
      </c>
      <c r="F21" s="106" t="s">
        <v>433</v>
      </c>
      <c r="H21" s="106" t="s">
        <v>434</v>
      </c>
      <c r="J21" s="106" t="s">
        <v>193</v>
      </c>
      <c r="L21" s="106" t="s">
        <v>194</v>
      </c>
    </row>
    <row r="23" spans="4:12" x14ac:dyDescent="0.25">
      <c r="E23" s="106" t="s">
        <v>26</v>
      </c>
    </row>
    <row r="24" spans="4:12" x14ac:dyDescent="0.25">
      <c r="D24" s="106" t="s">
        <v>435</v>
      </c>
      <c r="E24" s="106" t="s">
        <v>436</v>
      </c>
      <c r="F24" s="106" t="s">
        <v>437</v>
      </c>
      <c r="H24" s="106" t="s">
        <v>438</v>
      </c>
      <c r="J24" s="106" t="s">
        <v>211</v>
      </c>
      <c r="L24" s="106" t="s">
        <v>212</v>
      </c>
    </row>
    <row r="25" spans="4:12" x14ac:dyDescent="0.25">
      <c r="D25" s="106" t="s">
        <v>439</v>
      </c>
      <c r="E25" s="106" t="s">
        <v>440</v>
      </c>
      <c r="F25" s="106" t="s">
        <v>441</v>
      </c>
      <c r="H25" s="106" t="s">
        <v>442</v>
      </c>
      <c r="J25" s="106" t="s">
        <v>217</v>
      </c>
      <c r="L25" s="106" t="s">
        <v>218</v>
      </c>
    </row>
    <row r="26" spans="4:12" x14ac:dyDescent="0.25">
      <c r="D26" s="106" t="s">
        <v>443</v>
      </c>
      <c r="E26" s="106" t="s">
        <v>444</v>
      </c>
      <c r="F26" s="106" t="s">
        <v>445</v>
      </c>
      <c r="H26" s="106" t="s">
        <v>446</v>
      </c>
      <c r="J26" s="106" t="s">
        <v>223</v>
      </c>
      <c r="L26" s="106" t="s">
        <v>224</v>
      </c>
    </row>
    <row r="27" spans="4:12" x14ac:dyDescent="0.25">
      <c r="D27" s="106" t="s">
        <v>447</v>
      </c>
      <c r="E27" s="106" t="s">
        <v>448</v>
      </c>
      <c r="F27" s="106" t="s">
        <v>449</v>
      </c>
      <c r="H27" s="106" t="s">
        <v>450</v>
      </c>
      <c r="J27" s="106" t="s">
        <v>451</v>
      </c>
      <c r="L27" s="106" t="s">
        <v>228</v>
      </c>
    </row>
    <row r="28" spans="4:12" x14ac:dyDescent="0.25">
      <c r="D28" s="106" t="s">
        <v>452</v>
      </c>
      <c r="E28" s="106" t="s">
        <v>453</v>
      </c>
      <c r="F28" s="106" t="s">
        <v>454</v>
      </c>
      <c r="H28" s="106" t="s">
        <v>455</v>
      </c>
      <c r="J28" s="106" t="s">
        <v>231</v>
      </c>
      <c r="L28" s="106" t="s">
        <v>232</v>
      </c>
    </row>
    <row r="29" spans="4:12" x14ac:dyDescent="0.25">
      <c r="E29" s="106" t="s">
        <v>36</v>
      </c>
      <c r="F29" s="106" t="s">
        <v>456</v>
      </c>
      <c r="H29" s="106" t="s">
        <v>457</v>
      </c>
      <c r="J29" s="106" t="s">
        <v>458</v>
      </c>
      <c r="L29" s="106" t="s">
        <v>459</v>
      </c>
    </row>
    <row r="30" spans="4:12" x14ac:dyDescent="0.25">
      <c r="L30" s="106" t="s">
        <v>460</v>
      </c>
    </row>
    <row r="31" spans="4:12" x14ac:dyDescent="0.25">
      <c r="E31" s="106" t="s">
        <v>37</v>
      </c>
      <c r="F31" s="106" t="s">
        <v>461</v>
      </c>
      <c r="H31" s="106" t="s">
        <v>462</v>
      </c>
      <c r="J31" s="106" t="s">
        <v>463</v>
      </c>
      <c r="L31" s="106" t="s">
        <v>464</v>
      </c>
    </row>
    <row r="34" spans="4:12" x14ac:dyDescent="0.25">
      <c r="E34" s="106" t="s">
        <v>38</v>
      </c>
    </row>
    <row r="35" spans="4:12" x14ac:dyDescent="0.25">
      <c r="D35" s="106" t="s">
        <v>465</v>
      </c>
      <c r="E35" s="106" t="s">
        <v>466</v>
      </c>
      <c r="F35" s="106" t="s">
        <v>467</v>
      </c>
      <c r="H35" s="106" t="s">
        <v>468</v>
      </c>
      <c r="J35" s="106" t="s">
        <v>254</v>
      </c>
      <c r="L35" s="106" t="s">
        <v>255</v>
      </c>
    </row>
    <row r="36" spans="4:12" x14ac:dyDescent="0.25">
      <c r="D36" s="106" t="s">
        <v>469</v>
      </c>
      <c r="E36" s="106" t="s">
        <v>470</v>
      </c>
      <c r="F36" s="106" t="s">
        <v>471</v>
      </c>
      <c r="H36" s="106" t="s">
        <v>472</v>
      </c>
      <c r="J36" s="106" t="s">
        <v>260</v>
      </c>
      <c r="L36" s="106" t="s">
        <v>261</v>
      </c>
    </row>
    <row r="37" spans="4:12" x14ac:dyDescent="0.25">
      <c r="D37" s="106" t="s">
        <v>473</v>
      </c>
      <c r="E37" s="106" t="s">
        <v>474</v>
      </c>
      <c r="F37" s="106" t="s">
        <v>475</v>
      </c>
      <c r="H37" s="106" t="s">
        <v>476</v>
      </c>
      <c r="J37" s="106" t="s">
        <v>266</v>
      </c>
      <c r="L37" s="106" t="s">
        <v>267</v>
      </c>
    </row>
    <row r="38" spans="4:12" x14ac:dyDescent="0.25">
      <c r="D38" s="106" t="s">
        <v>477</v>
      </c>
      <c r="E38" s="106" t="s">
        <v>478</v>
      </c>
      <c r="F38" s="106" t="s">
        <v>479</v>
      </c>
      <c r="H38" s="106" t="s">
        <v>480</v>
      </c>
      <c r="J38" s="106" t="s">
        <v>272</v>
      </c>
      <c r="L38" s="106" t="s">
        <v>273</v>
      </c>
    </row>
    <row r="39" spans="4:12" x14ac:dyDescent="0.25">
      <c r="D39" s="106" t="s">
        <v>481</v>
      </c>
      <c r="E39" s="106" t="s">
        <v>482</v>
      </c>
      <c r="F39" s="106" t="s">
        <v>483</v>
      </c>
      <c r="H39" s="106" t="s">
        <v>484</v>
      </c>
      <c r="J39" s="106" t="s">
        <v>279</v>
      </c>
      <c r="L39" s="106" t="s">
        <v>280</v>
      </c>
    </row>
    <row r="40" spans="4:12" x14ac:dyDescent="0.25">
      <c r="D40" s="106" t="s">
        <v>485</v>
      </c>
      <c r="E40" s="106" t="s">
        <v>486</v>
      </c>
      <c r="F40" s="106" t="s">
        <v>487</v>
      </c>
      <c r="H40" s="106" t="s">
        <v>488</v>
      </c>
      <c r="J40" s="106" t="s">
        <v>285</v>
      </c>
      <c r="L40" s="106" t="s">
        <v>286</v>
      </c>
    </row>
    <row r="41" spans="4:12" x14ac:dyDescent="0.25">
      <c r="D41" s="106" t="s">
        <v>489</v>
      </c>
      <c r="E41" s="106" t="s">
        <v>490</v>
      </c>
      <c r="F41" s="106" t="s">
        <v>491</v>
      </c>
      <c r="H41" s="106" t="s">
        <v>492</v>
      </c>
      <c r="J41" s="106" t="s">
        <v>493</v>
      </c>
      <c r="L41" s="106" t="s">
        <v>494</v>
      </c>
    </row>
    <row r="42" spans="4:12" x14ac:dyDescent="0.25">
      <c r="D42" s="106" t="s">
        <v>495</v>
      </c>
      <c r="E42" s="106" t="s">
        <v>496</v>
      </c>
      <c r="F42" s="106" t="s">
        <v>497</v>
      </c>
      <c r="H42" s="106" t="s">
        <v>498</v>
      </c>
      <c r="J42" s="106" t="s">
        <v>291</v>
      </c>
      <c r="L42" s="106" t="s">
        <v>292</v>
      </c>
    </row>
    <row r="43" spans="4:12" x14ac:dyDescent="0.25">
      <c r="E43" s="106" t="s">
        <v>55</v>
      </c>
      <c r="F43" s="106" t="s">
        <v>499</v>
      </c>
      <c r="H43" s="106" t="s">
        <v>500</v>
      </c>
      <c r="J43" s="106" t="s">
        <v>501</v>
      </c>
      <c r="L43" s="106" t="s">
        <v>502</v>
      </c>
    </row>
    <row r="45" spans="4:12" x14ac:dyDescent="0.25">
      <c r="E45" s="106" t="s">
        <v>56</v>
      </c>
      <c r="F45" s="106" t="s">
        <v>503</v>
      </c>
      <c r="H45" s="106" t="s">
        <v>504</v>
      </c>
      <c r="J45" s="106" t="s">
        <v>302</v>
      </c>
      <c r="L45" s="106" t="s">
        <v>303</v>
      </c>
    </row>
    <row r="47" spans="4:12" x14ac:dyDescent="0.25">
      <c r="D47" s="106" t="s">
        <v>505</v>
      </c>
      <c r="E47" s="106" t="s">
        <v>506</v>
      </c>
      <c r="F47" s="106" t="s">
        <v>507</v>
      </c>
      <c r="H47" s="106" t="s">
        <v>508</v>
      </c>
      <c r="J47" s="106" t="s">
        <v>509</v>
      </c>
      <c r="L47" s="106" t="s">
        <v>510</v>
      </c>
    </row>
    <row r="48" spans="4:12" x14ac:dyDescent="0.25">
      <c r="D48" s="106" t="s">
        <v>511</v>
      </c>
      <c r="E48" s="106" t="s">
        <v>512</v>
      </c>
      <c r="F48" s="106" t="s">
        <v>513</v>
      </c>
      <c r="H48" s="106" t="s">
        <v>514</v>
      </c>
      <c r="J48" s="106" t="s">
        <v>314</v>
      </c>
      <c r="L48" s="106" t="s">
        <v>315</v>
      </c>
    </row>
    <row r="49" spans="4:12" x14ac:dyDescent="0.25">
      <c r="D49" s="106" t="s">
        <v>515</v>
      </c>
      <c r="E49" s="106" t="s">
        <v>516</v>
      </c>
      <c r="F49" s="106" t="s">
        <v>517</v>
      </c>
      <c r="H49" s="106" t="s">
        <v>518</v>
      </c>
      <c r="J49" s="106" t="s">
        <v>519</v>
      </c>
      <c r="L49" s="106" t="s">
        <v>520</v>
      </c>
    </row>
    <row r="51" spans="4:12" x14ac:dyDescent="0.25">
      <c r="E51" s="106" t="s">
        <v>347</v>
      </c>
      <c r="F51" s="106" t="s">
        <v>521</v>
      </c>
      <c r="H51" s="106" t="s">
        <v>522</v>
      </c>
      <c r="J51" s="106" t="s">
        <v>523</v>
      </c>
      <c r="L51" s="106" t="s">
        <v>323</v>
      </c>
    </row>
    <row r="53" spans="4:12" x14ac:dyDescent="0.25">
      <c r="D53" s="106" t="s">
        <v>524</v>
      </c>
      <c r="E53" s="106" t="s">
        <v>525</v>
      </c>
      <c r="F53" s="106" t="s">
        <v>526</v>
      </c>
      <c r="H53" s="106" t="s">
        <v>527</v>
      </c>
      <c r="J53" s="106" t="s">
        <v>528</v>
      </c>
      <c r="L53" s="106" t="s">
        <v>529</v>
      </c>
    </row>
    <row r="54" spans="4:12" x14ac:dyDescent="0.25">
      <c r="D54" s="106" t="s">
        <v>149</v>
      </c>
      <c r="E54" s="106" t="s">
        <v>530</v>
      </c>
      <c r="F54" s="106" t="s">
        <v>531</v>
      </c>
      <c r="H54" s="106" t="s">
        <v>532</v>
      </c>
      <c r="J54" s="106" t="s">
        <v>533</v>
      </c>
      <c r="L54" s="106" t="s">
        <v>534</v>
      </c>
    </row>
    <row r="56" spans="4:12" x14ac:dyDescent="0.25">
      <c r="E56" s="106" t="s">
        <v>67</v>
      </c>
      <c r="F56" s="106" t="s">
        <v>535</v>
      </c>
      <c r="G56" s="106" t="s">
        <v>536</v>
      </c>
      <c r="H56" s="106" t="s">
        <v>537</v>
      </c>
      <c r="J56" s="106" t="s">
        <v>335</v>
      </c>
      <c r="L56" s="106" t="s">
        <v>336</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760</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761</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sheetData>
    <row r="1" spans="1:8" x14ac:dyDescent="0.25">
      <c r="A1" s="106" t="s">
        <v>826</v>
      </c>
      <c r="C1" s="106" t="s">
        <v>132</v>
      </c>
      <c r="D1" s="106" t="s">
        <v>133</v>
      </c>
      <c r="E1" s="106" t="s">
        <v>724</v>
      </c>
      <c r="F1" s="106" t="s">
        <v>754</v>
      </c>
    </row>
    <row r="3" spans="1:8" x14ac:dyDescent="0.25">
      <c r="C3" s="106" t="s">
        <v>135</v>
      </c>
      <c r="D3" s="106" t="s">
        <v>133</v>
      </c>
    </row>
    <row r="4" spans="1:8" x14ac:dyDescent="0.25">
      <c r="A4" s="106" t="s">
        <v>134</v>
      </c>
      <c r="C4" s="106" t="s">
        <v>108</v>
      </c>
      <c r="D4" s="106" t="s">
        <v>807</v>
      </c>
      <c r="E4" s="106" t="s">
        <v>737</v>
      </c>
      <c r="G4" s="106" t="s">
        <v>143</v>
      </c>
      <c r="H4" s="106" t="s">
        <v>738</v>
      </c>
    </row>
    <row r="5" spans="1:8" x14ac:dyDescent="0.25">
      <c r="A5" s="106" t="s">
        <v>134</v>
      </c>
      <c r="C5" s="106" t="s">
        <v>110</v>
      </c>
      <c r="D5" s="106" t="s">
        <v>808</v>
      </c>
      <c r="F5" s="106" t="s">
        <v>755</v>
      </c>
      <c r="G5" s="106" t="s">
        <v>130</v>
      </c>
      <c r="H5" s="106" t="s">
        <v>739</v>
      </c>
    </row>
    <row r="6" spans="1:8" x14ac:dyDescent="0.25">
      <c r="A6" s="106" t="s">
        <v>134</v>
      </c>
      <c r="C6" s="106" t="s">
        <v>111</v>
      </c>
      <c r="D6" s="106" t="s">
        <v>809</v>
      </c>
      <c r="F6" s="106" t="s">
        <v>755</v>
      </c>
    </row>
    <row r="11" spans="1:8" ht="390" x14ac:dyDescent="0.25">
      <c r="C11" s="249" t="s">
        <v>717</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sheetData>
    <row r="1" spans="1:8" x14ac:dyDescent="0.25">
      <c r="A1" s="106" t="s">
        <v>826</v>
      </c>
      <c r="C1" s="106" t="s">
        <v>132</v>
      </c>
      <c r="D1" s="106" t="s">
        <v>133</v>
      </c>
      <c r="E1" s="106" t="s">
        <v>724</v>
      </c>
      <c r="F1" s="106" t="s">
        <v>754</v>
      </c>
    </row>
    <row r="3" spans="1:8" x14ac:dyDescent="0.25">
      <c r="C3" s="106" t="s">
        <v>135</v>
      </c>
      <c r="D3" s="106" t="s">
        <v>133</v>
      </c>
    </row>
    <row r="4" spans="1:8" x14ac:dyDescent="0.25">
      <c r="A4" s="106" t="s">
        <v>134</v>
      </c>
      <c r="C4" s="106" t="s">
        <v>108</v>
      </c>
      <c r="D4" s="106" t="s">
        <v>807</v>
      </c>
      <c r="E4" s="106" t="s">
        <v>737</v>
      </c>
      <c r="G4" s="106" t="s">
        <v>143</v>
      </c>
      <c r="H4" s="106" t="s">
        <v>738</v>
      </c>
    </row>
    <row r="5" spans="1:8" x14ac:dyDescent="0.25">
      <c r="A5" s="106" t="s">
        <v>134</v>
      </c>
      <c r="C5" s="106" t="s">
        <v>110</v>
      </c>
      <c r="D5" s="106" t="s">
        <v>808</v>
      </c>
      <c r="F5" s="106" t="s">
        <v>755</v>
      </c>
      <c r="G5" s="106" t="s">
        <v>130</v>
      </c>
      <c r="H5" s="106" t="s">
        <v>739</v>
      </c>
    </row>
    <row r="6" spans="1:8" x14ac:dyDescent="0.25">
      <c r="A6" s="106" t="s">
        <v>134</v>
      </c>
      <c r="C6" s="106" t="s">
        <v>111</v>
      </c>
      <c r="D6" s="106" t="s">
        <v>809</v>
      </c>
      <c r="F6" s="106" t="s">
        <v>755</v>
      </c>
    </row>
    <row r="11" spans="1:8" ht="390" x14ac:dyDescent="0.25">
      <c r="C11" s="249" t="s">
        <v>717</v>
      </c>
    </row>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5" x14ac:dyDescent="0.25"/>
  <sheetData>
    <row r="1" spans="1:12" x14ac:dyDescent="0.25">
      <c r="A1" s="106" t="s">
        <v>827</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763</v>
      </c>
      <c r="E13" s="106" t="s">
        <v>398</v>
      </c>
      <c r="F13" s="106" t="s">
        <v>399</v>
      </c>
      <c r="H13" s="106" t="s">
        <v>400</v>
      </c>
      <c r="J13" s="106" t="s">
        <v>155</v>
      </c>
      <c r="L13" s="106" t="s">
        <v>156</v>
      </c>
    </row>
    <row r="14" spans="1:12" x14ac:dyDescent="0.25">
      <c r="D14" s="106" t="s">
        <v>764</v>
      </c>
      <c r="E14" s="106" t="s">
        <v>402</v>
      </c>
      <c r="F14" s="106" t="s">
        <v>403</v>
      </c>
      <c r="H14" s="106" t="s">
        <v>404</v>
      </c>
      <c r="J14" s="106" t="s">
        <v>162</v>
      </c>
      <c r="L14" s="106" t="s">
        <v>163</v>
      </c>
    </row>
    <row r="15" spans="1:12" x14ac:dyDescent="0.25">
      <c r="D15" s="106" t="s">
        <v>765</v>
      </c>
      <c r="E15" s="106" t="s">
        <v>406</v>
      </c>
      <c r="F15" s="106" t="s">
        <v>407</v>
      </c>
      <c r="H15" s="106" t="s">
        <v>408</v>
      </c>
      <c r="J15" s="106" t="s">
        <v>168</v>
      </c>
      <c r="L15" s="106" t="s">
        <v>169</v>
      </c>
    </row>
    <row r="16" spans="1:12" x14ac:dyDescent="0.25">
      <c r="D16" s="106" t="s">
        <v>421</v>
      </c>
      <c r="E16" s="106" t="s">
        <v>410</v>
      </c>
      <c r="F16" s="106" t="s">
        <v>411</v>
      </c>
      <c r="H16" s="106" t="s">
        <v>412</v>
      </c>
      <c r="J16" s="106" t="s">
        <v>174</v>
      </c>
      <c r="L16" s="106" t="s">
        <v>175</v>
      </c>
    </row>
    <row r="17" spans="4:12" x14ac:dyDescent="0.25">
      <c r="D17" s="106" t="s">
        <v>427</v>
      </c>
      <c r="E17" s="106" t="s">
        <v>414</v>
      </c>
      <c r="F17" s="106" t="s">
        <v>415</v>
      </c>
      <c r="H17" s="106" t="s">
        <v>416</v>
      </c>
      <c r="J17" s="106" t="s">
        <v>180</v>
      </c>
      <c r="L17" s="106" t="s">
        <v>181</v>
      </c>
    </row>
    <row r="18" spans="4:12" x14ac:dyDescent="0.25">
      <c r="D18" s="106" t="s">
        <v>766</v>
      </c>
      <c r="E18" s="106" t="s">
        <v>418</v>
      </c>
      <c r="F18" s="106" t="s">
        <v>419</v>
      </c>
      <c r="H18" s="106" t="s">
        <v>420</v>
      </c>
      <c r="J18" s="106" t="s">
        <v>186</v>
      </c>
      <c r="L18" s="106" t="s">
        <v>187</v>
      </c>
    </row>
    <row r="19" spans="4:12" x14ac:dyDescent="0.25">
      <c r="E19" s="106" t="s">
        <v>25</v>
      </c>
      <c r="F19" s="106" t="s">
        <v>767</v>
      </c>
      <c r="H19" s="106" t="s">
        <v>768</v>
      </c>
      <c r="J19" s="106" t="s">
        <v>425</v>
      </c>
      <c r="L19" s="106" t="s">
        <v>426</v>
      </c>
    </row>
    <row r="21" spans="4:12" x14ac:dyDescent="0.25">
      <c r="E21" s="106" t="s">
        <v>26</v>
      </c>
    </row>
    <row r="22" spans="4:12" x14ac:dyDescent="0.25">
      <c r="D22" s="106" t="s">
        <v>769</v>
      </c>
      <c r="E22" s="106" t="s">
        <v>770</v>
      </c>
      <c r="F22" s="106" t="s">
        <v>771</v>
      </c>
      <c r="H22" s="106" t="s">
        <v>772</v>
      </c>
      <c r="J22" s="106" t="s">
        <v>199</v>
      </c>
      <c r="L22" s="106" t="s">
        <v>200</v>
      </c>
    </row>
    <row r="23" spans="4:12" x14ac:dyDescent="0.25">
      <c r="D23" s="106" t="s">
        <v>435</v>
      </c>
      <c r="E23" s="106" t="s">
        <v>773</v>
      </c>
      <c r="F23" s="106" t="s">
        <v>774</v>
      </c>
      <c r="H23" s="106" t="s">
        <v>775</v>
      </c>
      <c r="J23" s="106" t="s">
        <v>205</v>
      </c>
      <c r="L23" s="106" t="s">
        <v>206</v>
      </c>
    </row>
    <row r="24" spans="4:12" x14ac:dyDescent="0.25">
      <c r="D24" s="106" t="s">
        <v>776</v>
      </c>
      <c r="E24" s="106" t="s">
        <v>436</v>
      </c>
      <c r="F24" s="106" t="s">
        <v>437</v>
      </c>
      <c r="H24" s="106" t="s">
        <v>438</v>
      </c>
      <c r="J24" s="106" t="s">
        <v>211</v>
      </c>
      <c r="L24" s="106" t="s">
        <v>212</v>
      </c>
    </row>
    <row r="25" spans="4:12" x14ac:dyDescent="0.25">
      <c r="D25" s="106" t="s">
        <v>762</v>
      </c>
      <c r="E25" s="106" t="s">
        <v>440</v>
      </c>
      <c r="F25" s="106" t="s">
        <v>441</v>
      </c>
      <c r="H25" s="106" t="s">
        <v>442</v>
      </c>
      <c r="J25" s="106" t="s">
        <v>217</v>
      </c>
      <c r="L25" s="106" t="s">
        <v>218</v>
      </c>
    </row>
    <row r="26" spans="4:12" x14ac:dyDescent="0.25">
      <c r="E26" s="106" t="s">
        <v>36</v>
      </c>
      <c r="F26" s="106" t="s">
        <v>777</v>
      </c>
      <c r="H26" s="106" t="s">
        <v>778</v>
      </c>
      <c r="J26" s="106" t="s">
        <v>223</v>
      </c>
      <c r="L26" s="106" t="s">
        <v>224</v>
      </c>
    </row>
    <row r="27" spans="4:12" x14ac:dyDescent="0.25">
      <c r="L27" s="106" t="s">
        <v>228</v>
      </c>
    </row>
    <row r="28" spans="4:12" x14ac:dyDescent="0.25">
      <c r="E28" s="106" t="s">
        <v>37</v>
      </c>
      <c r="F28" s="106" t="s">
        <v>779</v>
      </c>
      <c r="H28" s="106" t="s">
        <v>780</v>
      </c>
      <c r="J28" s="106" t="s">
        <v>231</v>
      </c>
      <c r="L28" s="106" t="s">
        <v>232</v>
      </c>
    </row>
    <row r="31" spans="4:12" x14ac:dyDescent="0.25">
      <c r="E31" s="106" t="s">
        <v>38</v>
      </c>
    </row>
    <row r="32" spans="4:12" x14ac:dyDescent="0.25">
      <c r="D32" s="106" t="s">
        <v>465</v>
      </c>
      <c r="E32" s="106" t="s">
        <v>577</v>
      </c>
      <c r="F32" s="106" t="s">
        <v>781</v>
      </c>
      <c r="H32" s="106" t="s">
        <v>782</v>
      </c>
      <c r="J32" s="106" t="s">
        <v>236</v>
      </c>
      <c r="L32" s="106" t="s">
        <v>237</v>
      </c>
    </row>
    <row r="33" spans="4:12" x14ac:dyDescent="0.25">
      <c r="D33" s="106" t="s">
        <v>469</v>
      </c>
      <c r="E33" s="106" t="s">
        <v>580</v>
      </c>
      <c r="F33" s="106" t="s">
        <v>783</v>
      </c>
      <c r="H33" s="106" t="s">
        <v>784</v>
      </c>
      <c r="J33" s="106" t="s">
        <v>242</v>
      </c>
      <c r="L33" s="106" t="s">
        <v>243</v>
      </c>
    </row>
    <row r="34" spans="4:12" x14ac:dyDescent="0.25">
      <c r="D34" s="106" t="s">
        <v>477</v>
      </c>
      <c r="E34" s="106" t="s">
        <v>583</v>
      </c>
      <c r="F34" s="106" t="s">
        <v>785</v>
      </c>
      <c r="H34" s="106" t="s">
        <v>786</v>
      </c>
      <c r="J34" s="106" t="s">
        <v>248</v>
      </c>
      <c r="L34" s="106" t="s">
        <v>249</v>
      </c>
    </row>
    <row r="35" spans="4:12" x14ac:dyDescent="0.25">
      <c r="D35" s="106" t="s">
        <v>481</v>
      </c>
      <c r="E35" s="106" t="s">
        <v>466</v>
      </c>
      <c r="F35" s="106" t="s">
        <v>467</v>
      </c>
      <c r="H35" s="106" t="s">
        <v>468</v>
      </c>
      <c r="J35" s="106" t="s">
        <v>254</v>
      </c>
      <c r="L35" s="106" t="s">
        <v>255</v>
      </c>
    </row>
    <row r="36" spans="4:12" x14ac:dyDescent="0.25">
      <c r="D36" s="106" t="s">
        <v>485</v>
      </c>
      <c r="E36" s="106" t="s">
        <v>470</v>
      </c>
      <c r="F36" s="106" t="s">
        <v>471</v>
      </c>
      <c r="H36" s="106" t="s">
        <v>472</v>
      </c>
      <c r="J36" s="106" t="s">
        <v>260</v>
      </c>
      <c r="L36" s="106" t="s">
        <v>261</v>
      </c>
    </row>
    <row r="37" spans="4:12" x14ac:dyDescent="0.25">
      <c r="D37" s="106" t="s">
        <v>489</v>
      </c>
      <c r="E37" s="106" t="s">
        <v>474</v>
      </c>
      <c r="F37" s="106" t="s">
        <v>475</v>
      </c>
      <c r="H37" s="106" t="s">
        <v>476</v>
      </c>
      <c r="J37" s="106" t="s">
        <v>266</v>
      </c>
      <c r="L37" s="106" t="s">
        <v>267</v>
      </c>
    </row>
    <row r="38" spans="4:12" x14ac:dyDescent="0.25">
      <c r="D38" s="106" t="s">
        <v>495</v>
      </c>
      <c r="E38" s="106" t="s">
        <v>478</v>
      </c>
      <c r="F38" s="106" t="s">
        <v>479</v>
      </c>
      <c r="H38" s="106" t="s">
        <v>480</v>
      </c>
      <c r="J38" s="106" t="s">
        <v>272</v>
      </c>
      <c r="L38" s="106" t="s">
        <v>273</v>
      </c>
    </row>
    <row r="39" spans="4:12" x14ac:dyDescent="0.25">
      <c r="E39" s="106" t="s">
        <v>55</v>
      </c>
      <c r="F39" s="106" t="s">
        <v>787</v>
      </c>
      <c r="H39" s="106" t="s">
        <v>788</v>
      </c>
      <c r="J39" s="106" t="s">
        <v>279</v>
      </c>
      <c r="L39" s="106" t="s">
        <v>280</v>
      </c>
    </row>
    <row r="41" spans="4:12" x14ac:dyDescent="0.25">
      <c r="E41" s="106" t="s">
        <v>56</v>
      </c>
      <c r="F41" s="106" t="s">
        <v>789</v>
      </c>
      <c r="H41" s="106" t="s">
        <v>790</v>
      </c>
      <c r="J41" s="106" t="s">
        <v>493</v>
      </c>
      <c r="L41" s="106" t="s">
        <v>494</v>
      </c>
    </row>
    <row r="43" spans="4:12" x14ac:dyDescent="0.25">
      <c r="D43" s="106" t="s">
        <v>505</v>
      </c>
      <c r="E43" s="106" t="s">
        <v>791</v>
      </c>
      <c r="F43" s="106" t="s">
        <v>792</v>
      </c>
      <c r="H43" s="106" t="s">
        <v>793</v>
      </c>
      <c r="J43" s="106" t="s">
        <v>501</v>
      </c>
      <c r="L43" s="106" t="s">
        <v>502</v>
      </c>
    </row>
    <row r="44" spans="4:12" x14ac:dyDescent="0.25">
      <c r="D44" s="106" t="s">
        <v>511</v>
      </c>
      <c r="E44" s="106" t="s">
        <v>794</v>
      </c>
      <c r="F44" s="106" t="s">
        <v>795</v>
      </c>
      <c r="H44" s="106" t="s">
        <v>796</v>
      </c>
      <c r="J44" s="106" t="s">
        <v>296</v>
      </c>
      <c r="L44" s="106" t="s">
        <v>297</v>
      </c>
    </row>
    <row r="45" spans="4:12" x14ac:dyDescent="0.25">
      <c r="D45" s="106" t="s">
        <v>515</v>
      </c>
      <c r="E45" s="106" t="s">
        <v>797</v>
      </c>
      <c r="F45" s="106" t="s">
        <v>798</v>
      </c>
      <c r="H45" s="106" t="s">
        <v>799</v>
      </c>
      <c r="J45" s="106" t="s">
        <v>302</v>
      </c>
      <c r="L45" s="106" t="s">
        <v>303</v>
      </c>
    </row>
    <row r="47" spans="4:12" x14ac:dyDescent="0.25">
      <c r="E47" s="106" t="s">
        <v>347</v>
      </c>
      <c r="F47" s="106" t="s">
        <v>800</v>
      </c>
      <c r="H47" s="106" t="s">
        <v>801</v>
      </c>
      <c r="J47" s="106" t="s">
        <v>509</v>
      </c>
      <c r="L47" s="106" t="s">
        <v>510</v>
      </c>
    </row>
    <row r="49" spans="4:12" x14ac:dyDescent="0.25">
      <c r="D49" s="106" t="s">
        <v>524</v>
      </c>
      <c r="E49" s="106" t="s">
        <v>516</v>
      </c>
      <c r="F49" s="106" t="s">
        <v>517</v>
      </c>
      <c r="H49" s="106" t="s">
        <v>518</v>
      </c>
      <c r="J49" s="106" t="s">
        <v>519</v>
      </c>
      <c r="L49" s="106" t="s">
        <v>520</v>
      </c>
    </row>
    <row r="51" spans="4:12" x14ac:dyDescent="0.25">
      <c r="E51" s="106" t="s">
        <v>67</v>
      </c>
      <c r="F51" s="106" t="s">
        <v>802</v>
      </c>
      <c r="G51" s="106" t="s">
        <v>536</v>
      </c>
      <c r="H51" s="106" t="s">
        <v>803</v>
      </c>
      <c r="J51" s="106" t="s">
        <v>523</v>
      </c>
      <c r="L51" s="106" t="s">
        <v>323</v>
      </c>
    </row>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5" x14ac:dyDescent="0.25"/>
  <sheetData>
    <row r="1" spans="1:12" x14ac:dyDescent="0.25">
      <c r="A1" s="106" t="s">
        <v>827</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763</v>
      </c>
      <c r="E13" s="106" t="s">
        <v>806</v>
      </c>
      <c r="F13" s="106" t="s">
        <v>806</v>
      </c>
      <c r="H13" s="106" t="s">
        <v>806</v>
      </c>
      <c r="J13" s="106" t="s">
        <v>155</v>
      </c>
      <c r="L13" s="106" t="s">
        <v>156</v>
      </c>
    </row>
    <row r="14" spans="1:12" x14ac:dyDescent="0.25">
      <c r="D14" s="106" t="s">
        <v>764</v>
      </c>
      <c r="E14" s="106" t="s">
        <v>806</v>
      </c>
      <c r="F14" s="106" t="s">
        <v>806</v>
      </c>
      <c r="H14" s="106" t="s">
        <v>806</v>
      </c>
      <c r="J14" s="106" t="s">
        <v>162</v>
      </c>
      <c r="L14" s="106" t="s">
        <v>163</v>
      </c>
    </row>
    <row r="15" spans="1:12" x14ac:dyDescent="0.25">
      <c r="D15" s="106" t="s">
        <v>765</v>
      </c>
      <c r="E15" s="106" t="s">
        <v>806</v>
      </c>
      <c r="F15" s="106" t="s">
        <v>806</v>
      </c>
      <c r="H15" s="106" t="s">
        <v>806</v>
      </c>
      <c r="J15" s="106" t="s">
        <v>168</v>
      </c>
      <c r="L15" s="106" t="s">
        <v>169</v>
      </c>
    </row>
    <row r="16" spans="1:12" x14ac:dyDescent="0.25">
      <c r="D16" s="106" t="s">
        <v>421</v>
      </c>
      <c r="E16" s="106" t="s">
        <v>806</v>
      </c>
      <c r="F16" s="106" t="s">
        <v>806</v>
      </c>
      <c r="H16" s="106" t="s">
        <v>806</v>
      </c>
      <c r="J16" s="106" t="s">
        <v>174</v>
      </c>
      <c r="L16" s="106" t="s">
        <v>175</v>
      </c>
    </row>
    <row r="17" spans="4:12" x14ac:dyDescent="0.25">
      <c r="D17" s="106" t="s">
        <v>427</v>
      </c>
      <c r="E17" s="106" t="s">
        <v>806</v>
      </c>
      <c r="F17" s="106" t="s">
        <v>806</v>
      </c>
      <c r="H17" s="106" t="s">
        <v>806</v>
      </c>
      <c r="J17" s="106" t="s">
        <v>180</v>
      </c>
      <c r="L17" s="106" t="s">
        <v>181</v>
      </c>
    </row>
    <row r="18" spans="4:12" x14ac:dyDescent="0.25">
      <c r="D18" s="106" t="s">
        <v>766</v>
      </c>
      <c r="E18" s="106" t="s">
        <v>806</v>
      </c>
      <c r="F18" s="106" t="s">
        <v>806</v>
      </c>
      <c r="H18" s="106" t="s">
        <v>806</v>
      </c>
      <c r="J18" s="106" t="s">
        <v>186</v>
      </c>
      <c r="L18" s="106" t="s">
        <v>187</v>
      </c>
    </row>
    <row r="19" spans="4:12" x14ac:dyDescent="0.25">
      <c r="E19" s="106" t="s">
        <v>25</v>
      </c>
      <c r="F19" s="106" t="s">
        <v>767</v>
      </c>
      <c r="H19" s="106" t="s">
        <v>768</v>
      </c>
      <c r="J19" s="106" t="s">
        <v>425</v>
      </c>
      <c r="L19" s="106" t="s">
        <v>426</v>
      </c>
    </row>
    <row r="21" spans="4:12" x14ac:dyDescent="0.25">
      <c r="E21" s="106" t="s">
        <v>26</v>
      </c>
    </row>
    <row r="22" spans="4:12" x14ac:dyDescent="0.25">
      <c r="D22" s="106" t="s">
        <v>769</v>
      </c>
      <c r="E22" s="106" t="s">
        <v>806</v>
      </c>
      <c r="F22" s="106" t="s">
        <v>806</v>
      </c>
      <c r="H22" s="106" t="s">
        <v>806</v>
      </c>
      <c r="J22" s="106" t="s">
        <v>199</v>
      </c>
      <c r="L22" s="106" t="s">
        <v>200</v>
      </c>
    </row>
    <row r="23" spans="4:12" x14ac:dyDescent="0.25">
      <c r="D23" s="106" t="s">
        <v>435</v>
      </c>
      <c r="E23" s="106" t="s">
        <v>806</v>
      </c>
      <c r="F23" s="106" t="s">
        <v>806</v>
      </c>
      <c r="H23" s="106" t="s">
        <v>806</v>
      </c>
      <c r="J23" s="106" t="s">
        <v>205</v>
      </c>
      <c r="L23" s="106" t="s">
        <v>206</v>
      </c>
    </row>
    <row r="24" spans="4:12" x14ac:dyDescent="0.25">
      <c r="D24" s="106" t="s">
        <v>776</v>
      </c>
      <c r="E24" s="106" t="s">
        <v>806</v>
      </c>
      <c r="F24" s="106" t="s">
        <v>806</v>
      </c>
      <c r="H24" s="106" t="s">
        <v>806</v>
      </c>
      <c r="J24" s="106" t="s">
        <v>211</v>
      </c>
      <c r="L24" s="106" t="s">
        <v>212</v>
      </c>
    </row>
    <row r="25" spans="4:12" x14ac:dyDescent="0.25">
      <c r="D25" s="106" t="s">
        <v>762</v>
      </c>
      <c r="E25" s="106" t="s">
        <v>806</v>
      </c>
      <c r="F25" s="106" t="s">
        <v>806</v>
      </c>
      <c r="H25" s="106" t="s">
        <v>806</v>
      </c>
      <c r="J25" s="106" t="s">
        <v>217</v>
      </c>
      <c r="L25" s="106" t="s">
        <v>218</v>
      </c>
    </row>
    <row r="26" spans="4:12" x14ac:dyDescent="0.25">
      <c r="E26" s="106" t="s">
        <v>36</v>
      </c>
      <c r="F26" s="106" t="s">
        <v>777</v>
      </c>
      <c r="H26" s="106" t="s">
        <v>778</v>
      </c>
      <c r="J26" s="106" t="s">
        <v>223</v>
      </c>
      <c r="L26" s="106" t="s">
        <v>224</v>
      </c>
    </row>
    <row r="27" spans="4:12" x14ac:dyDescent="0.25">
      <c r="L27" s="106" t="s">
        <v>228</v>
      </c>
    </row>
    <row r="28" spans="4:12" x14ac:dyDescent="0.25">
      <c r="E28" s="106" t="s">
        <v>37</v>
      </c>
      <c r="F28" s="106" t="s">
        <v>779</v>
      </c>
      <c r="H28" s="106" t="s">
        <v>780</v>
      </c>
      <c r="J28" s="106" t="s">
        <v>231</v>
      </c>
      <c r="L28" s="106" t="s">
        <v>232</v>
      </c>
    </row>
    <row r="31" spans="4:12" x14ac:dyDescent="0.25">
      <c r="E31" s="106" t="s">
        <v>38</v>
      </c>
    </row>
    <row r="32" spans="4:12" x14ac:dyDescent="0.25">
      <c r="D32" s="106" t="s">
        <v>465</v>
      </c>
      <c r="E32" s="106" t="s">
        <v>806</v>
      </c>
      <c r="F32" s="106" t="s">
        <v>806</v>
      </c>
      <c r="H32" s="106" t="s">
        <v>806</v>
      </c>
      <c r="J32" s="106" t="s">
        <v>236</v>
      </c>
      <c r="L32" s="106" t="s">
        <v>237</v>
      </c>
    </row>
    <row r="33" spans="4:12" x14ac:dyDescent="0.25">
      <c r="D33" s="106" t="s">
        <v>469</v>
      </c>
      <c r="E33" s="106" t="s">
        <v>806</v>
      </c>
      <c r="F33" s="106" t="s">
        <v>806</v>
      </c>
      <c r="H33" s="106" t="s">
        <v>806</v>
      </c>
      <c r="J33" s="106" t="s">
        <v>242</v>
      </c>
      <c r="L33" s="106" t="s">
        <v>243</v>
      </c>
    </row>
    <row r="34" spans="4:12" x14ac:dyDescent="0.25">
      <c r="D34" s="106" t="s">
        <v>477</v>
      </c>
      <c r="E34" s="106" t="s">
        <v>806</v>
      </c>
      <c r="F34" s="106" t="s">
        <v>806</v>
      </c>
      <c r="H34" s="106" t="s">
        <v>806</v>
      </c>
      <c r="J34" s="106" t="s">
        <v>248</v>
      </c>
      <c r="L34" s="106" t="s">
        <v>249</v>
      </c>
    </row>
    <row r="35" spans="4:12" x14ac:dyDescent="0.25">
      <c r="D35" s="106" t="s">
        <v>481</v>
      </c>
      <c r="E35" s="106" t="s">
        <v>806</v>
      </c>
      <c r="F35" s="106" t="s">
        <v>806</v>
      </c>
      <c r="H35" s="106" t="s">
        <v>806</v>
      </c>
      <c r="J35" s="106" t="s">
        <v>254</v>
      </c>
      <c r="L35" s="106" t="s">
        <v>255</v>
      </c>
    </row>
    <row r="36" spans="4:12" x14ac:dyDescent="0.25">
      <c r="D36" s="106" t="s">
        <v>485</v>
      </c>
      <c r="E36" s="106" t="s">
        <v>806</v>
      </c>
      <c r="F36" s="106" t="s">
        <v>806</v>
      </c>
      <c r="H36" s="106" t="s">
        <v>806</v>
      </c>
      <c r="J36" s="106" t="s">
        <v>260</v>
      </c>
      <c r="L36" s="106" t="s">
        <v>261</v>
      </c>
    </row>
    <row r="37" spans="4:12" x14ac:dyDescent="0.25">
      <c r="D37" s="106" t="s">
        <v>489</v>
      </c>
      <c r="E37" s="106" t="s">
        <v>806</v>
      </c>
      <c r="F37" s="106" t="s">
        <v>806</v>
      </c>
      <c r="H37" s="106" t="s">
        <v>806</v>
      </c>
      <c r="J37" s="106" t="s">
        <v>266</v>
      </c>
      <c r="L37" s="106" t="s">
        <v>267</v>
      </c>
    </row>
    <row r="38" spans="4:12" x14ac:dyDescent="0.25">
      <c r="D38" s="106" t="s">
        <v>495</v>
      </c>
      <c r="E38" s="106" t="s">
        <v>806</v>
      </c>
      <c r="F38" s="106" t="s">
        <v>806</v>
      </c>
      <c r="H38" s="106" t="s">
        <v>806</v>
      </c>
      <c r="J38" s="106" t="s">
        <v>272</v>
      </c>
      <c r="L38" s="106" t="s">
        <v>273</v>
      </c>
    </row>
    <row r="39" spans="4:12" x14ac:dyDescent="0.25">
      <c r="E39" s="106" t="s">
        <v>55</v>
      </c>
      <c r="F39" s="106" t="s">
        <v>787</v>
      </c>
      <c r="H39" s="106" t="s">
        <v>788</v>
      </c>
      <c r="J39" s="106" t="s">
        <v>279</v>
      </c>
      <c r="L39" s="106" t="s">
        <v>280</v>
      </c>
    </row>
    <row r="41" spans="4:12" x14ac:dyDescent="0.25">
      <c r="E41" s="106" t="s">
        <v>56</v>
      </c>
      <c r="F41" s="106" t="s">
        <v>789</v>
      </c>
      <c r="H41" s="106" t="s">
        <v>790</v>
      </c>
      <c r="J41" s="106" t="s">
        <v>493</v>
      </c>
      <c r="L41" s="106" t="s">
        <v>494</v>
      </c>
    </row>
    <row r="43" spans="4:12" x14ac:dyDescent="0.25">
      <c r="D43" s="106" t="s">
        <v>505</v>
      </c>
      <c r="E43" s="106" t="s">
        <v>806</v>
      </c>
      <c r="F43" s="106" t="s">
        <v>806</v>
      </c>
      <c r="H43" s="106" t="s">
        <v>806</v>
      </c>
      <c r="J43" s="106" t="s">
        <v>501</v>
      </c>
      <c r="L43" s="106" t="s">
        <v>502</v>
      </c>
    </row>
    <row r="44" spans="4:12" x14ac:dyDescent="0.25">
      <c r="D44" s="106" t="s">
        <v>511</v>
      </c>
      <c r="E44" s="106" t="s">
        <v>806</v>
      </c>
      <c r="F44" s="106" t="s">
        <v>806</v>
      </c>
      <c r="H44" s="106" t="s">
        <v>806</v>
      </c>
      <c r="J44" s="106" t="s">
        <v>296</v>
      </c>
      <c r="L44" s="106" t="s">
        <v>297</v>
      </c>
    </row>
    <row r="45" spans="4:12" x14ac:dyDescent="0.25">
      <c r="D45" s="106" t="s">
        <v>515</v>
      </c>
      <c r="E45" s="106" t="s">
        <v>806</v>
      </c>
      <c r="F45" s="106" t="s">
        <v>806</v>
      </c>
      <c r="H45" s="106" t="s">
        <v>806</v>
      </c>
      <c r="J45" s="106" t="s">
        <v>302</v>
      </c>
      <c r="L45" s="106" t="s">
        <v>303</v>
      </c>
    </row>
    <row r="47" spans="4:12" x14ac:dyDescent="0.25">
      <c r="E47" s="106" t="s">
        <v>347</v>
      </c>
      <c r="F47" s="106" t="s">
        <v>800</v>
      </c>
      <c r="H47" s="106" t="s">
        <v>801</v>
      </c>
      <c r="J47" s="106" t="s">
        <v>509</v>
      </c>
      <c r="L47" s="106" t="s">
        <v>510</v>
      </c>
    </row>
    <row r="49" spans="4:12" x14ac:dyDescent="0.25">
      <c r="D49" s="106" t="s">
        <v>524</v>
      </c>
      <c r="E49" s="106" t="s">
        <v>806</v>
      </c>
      <c r="F49" s="106" t="s">
        <v>806</v>
      </c>
      <c r="H49" s="106" t="s">
        <v>806</v>
      </c>
      <c r="J49" s="106" t="s">
        <v>519</v>
      </c>
      <c r="L49" s="106" t="s">
        <v>520</v>
      </c>
    </row>
    <row r="51" spans="4:12" x14ac:dyDescent="0.25">
      <c r="E51" s="106" t="s">
        <v>67</v>
      </c>
      <c r="F51" s="106" t="s">
        <v>802</v>
      </c>
      <c r="G51" s="106" t="s">
        <v>536</v>
      </c>
      <c r="H51" s="106" t="s">
        <v>803</v>
      </c>
      <c r="J51" s="106" t="s">
        <v>523</v>
      </c>
      <c r="L51" s="106" t="s">
        <v>323</v>
      </c>
    </row>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828</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828</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806</v>
      </c>
      <c r="H10" s="106" t="s">
        <v>806</v>
      </c>
    </row>
    <row r="11" spans="1:8" x14ac:dyDescent="0.25">
      <c r="B11" s="106" t="s">
        <v>345</v>
      </c>
      <c r="D11" s="106" t="s">
        <v>542</v>
      </c>
      <c r="F11" s="106" t="s">
        <v>806</v>
      </c>
      <c r="H11" s="106" t="s">
        <v>806</v>
      </c>
    </row>
    <row r="12" spans="1:8" x14ac:dyDescent="0.25">
      <c r="D12" s="106" t="s">
        <v>545</v>
      </c>
      <c r="F12" s="106" t="s">
        <v>806</v>
      </c>
      <c r="H12" s="106" t="s">
        <v>806</v>
      </c>
    </row>
    <row r="13" spans="1:8" x14ac:dyDescent="0.25">
      <c r="D13" s="106" t="s">
        <v>548</v>
      </c>
      <c r="F13" s="106" t="s">
        <v>806</v>
      </c>
      <c r="H13" s="106" t="s">
        <v>806</v>
      </c>
    </row>
    <row r="14" spans="1:8" x14ac:dyDescent="0.25">
      <c r="D14" s="106" t="s">
        <v>550</v>
      </c>
      <c r="F14" s="106" t="s">
        <v>806</v>
      </c>
      <c r="H14" s="106" t="s">
        <v>806</v>
      </c>
    </row>
    <row r="15" spans="1:8" x14ac:dyDescent="0.25">
      <c r="D15" s="106" t="s">
        <v>552</v>
      </c>
      <c r="F15" s="106" t="s">
        <v>806</v>
      </c>
      <c r="H15" s="106" t="s">
        <v>806</v>
      </c>
    </row>
    <row r="16" spans="1:8" x14ac:dyDescent="0.25">
      <c r="F16" s="106" t="s">
        <v>78</v>
      </c>
      <c r="H16" s="106" t="s">
        <v>554</v>
      </c>
    </row>
    <row r="18" spans="4:13" x14ac:dyDescent="0.25">
      <c r="F18" s="106" t="s">
        <v>79</v>
      </c>
    </row>
    <row r="19" spans="4:13" x14ac:dyDescent="0.25">
      <c r="D19" s="106" t="s">
        <v>555</v>
      </c>
      <c r="F19" s="106" t="s">
        <v>806</v>
      </c>
      <c r="H19" s="106" t="s">
        <v>806</v>
      </c>
    </row>
    <row r="20" spans="4:13" x14ac:dyDescent="0.25">
      <c r="D20" s="106" t="s">
        <v>557</v>
      </c>
      <c r="F20" s="106" t="s">
        <v>806</v>
      </c>
      <c r="H20" s="106" t="s">
        <v>806</v>
      </c>
      <c r="K20" s="106" t="s">
        <v>73</v>
      </c>
      <c r="L20" s="106" t="s">
        <v>74</v>
      </c>
    </row>
    <row r="21" spans="4:13" x14ac:dyDescent="0.25">
      <c r="D21" s="106" t="s">
        <v>559</v>
      </c>
      <c r="F21" s="106" t="s">
        <v>806</v>
      </c>
      <c r="H21" s="106" t="s">
        <v>806</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806</v>
      </c>
      <c r="H30" s="106" t="s">
        <v>806</v>
      </c>
    </row>
    <row r="31" spans="4:13" x14ac:dyDescent="0.25">
      <c r="D31" s="106" t="s">
        <v>573</v>
      </c>
      <c r="F31" s="106" t="s">
        <v>806</v>
      </c>
      <c r="H31" s="106" t="s">
        <v>806</v>
      </c>
    </row>
    <row r="32" spans="4:13" x14ac:dyDescent="0.25">
      <c r="D32" s="106" t="s">
        <v>576</v>
      </c>
      <c r="F32" s="106" t="s">
        <v>806</v>
      </c>
      <c r="H32" s="106" t="s">
        <v>806</v>
      </c>
    </row>
    <row r="33" spans="4:8" x14ac:dyDescent="0.25">
      <c r="D33" s="106" t="s">
        <v>579</v>
      </c>
      <c r="F33" s="106" t="s">
        <v>806</v>
      </c>
      <c r="H33" s="106" t="s">
        <v>806</v>
      </c>
    </row>
    <row r="34" spans="4:8" x14ac:dyDescent="0.25">
      <c r="D34" s="106" t="s">
        <v>582</v>
      </c>
      <c r="F34" s="106" t="s">
        <v>806</v>
      </c>
      <c r="H34" s="106" t="s">
        <v>806</v>
      </c>
    </row>
    <row r="35" spans="4:8" x14ac:dyDescent="0.25">
      <c r="D35" s="106" t="s">
        <v>585</v>
      </c>
      <c r="F35" s="106" t="s">
        <v>806</v>
      </c>
      <c r="H35" s="106" t="s">
        <v>806</v>
      </c>
    </row>
    <row r="36" spans="4:8" x14ac:dyDescent="0.25">
      <c r="D36" s="106" t="s">
        <v>587</v>
      </c>
      <c r="F36" s="106" t="s">
        <v>806</v>
      </c>
      <c r="H36" s="106" t="s">
        <v>806</v>
      </c>
    </row>
    <row r="37" spans="4:8" x14ac:dyDescent="0.25">
      <c r="F37" s="106" t="s">
        <v>78</v>
      </c>
      <c r="H37" s="106" t="s">
        <v>589</v>
      </c>
    </row>
    <row r="39" spans="4:8" x14ac:dyDescent="0.25">
      <c r="F39" s="106" t="s">
        <v>83</v>
      </c>
    </row>
    <row r="40" spans="4:8" x14ac:dyDescent="0.25">
      <c r="D40" s="106" t="s">
        <v>590</v>
      </c>
      <c r="F40" s="106" t="s">
        <v>806</v>
      </c>
      <c r="H40" s="106" t="s">
        <v>806</v>
      </c>
    </row>
    <row r="41" spans="4:8" x14ac:dyDescent="0.25">
      <c r="D41" s="106" t="s">
        <v>592</v>
      </c>
      <c r="F41" s="106" t="s">
        <v>806</v>
      </c>
      <c r="H41" s="106" t="s">
        <v>806</v>
      </c>
    </row>
    <row r="42" spans="4:8" x14ac:dyDescent="0.25">
      <c r="D42" s="106" t="s">
        <v>594</v>
      </c>
      <c r="F42" s="106" t="s">
        <v>806</v>
      </c>
      <c r="H42" s="106" t="s">
        <v>806</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806</v>
      </c>
      <c r="H48" s="106" t="s">
        <v>806</v>
      </c>
    </row>
    <row r="49" spans="4:8" x14ac:dyDescent="0.25">
      <c r="D49" s="106" t="s">
        <v>600</v>
      </c>
      <c r="F49" s="106" t="s">
        <v>806</v>
      </c>
      <c r="H49" s="106" t="s">
        <v>806</v>
      </c>
    </row>
    <row r="50" spans="4:8" x14ac:dyDescent="0.25">
      <c r="D50" s="106" t="s">
        <v>602</v>
      </c>
      <c r="F50" s="106" t="s">
        <v>806</v>
      </c>
      <c r="H50" s="106" t="s">
        <v>806</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829</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topLeftCell="A2" zoomScale="90" zoomScaleNormal="90" workbookViewId="0"/>
  </sheetViews>
  <sheetFormatPr defaultRowHeight="15" x14ac:dyDescent="0.25"/>
  <cols>
    <col min="1" max="1" width="9.140625" hidden="1" customWidth="1"/>
    <col min="3" max="3" width="23.28515625" customWidth="1"/>
    <col min="4" max="4" width="26.7109375" customWidth="1"/>
    <col min="5" max="5" width="17.28515625" customWidth="1"/>
    <col min="6" max="6" width="16.85546875" customWidth="1"/>
    <col min="7" max="8" width="14.28515625" customWidth="1"/>
    <col min="9" max="9" width="15.7109375" customWidth="1"/>
    <col min="10" max="10" width="19.28515625" customWidth="1"/>
    <col min="12" max="12" width="31.7109375" customWidth="1"/>
  </cols>
  <sheetData>
    <row r="1" spans="1:12" hidden="1" x14ac:dyDescent="0.25">
      <c r="A1" t="s">
        <v>836</v>
      </c>
    </row>
    <row r="2" spans="1:12" x14ac:dyDescent="0.25">
      <c r="C2" s="139" t="s">
        <v>716</v>
      </c>
      <c r="F2" s="1"/>
    </row>
    <row r="4" spans="1:12" x14ac:dyDescent="0.25">
      <c r="C4" s="94" t="s">
        <v>2</v>
      </c>
      <c r="D4" s="94" t="s">
        <v>136</v>
      </c>
      <c r="E4" s="94" t="s">
        <v>70</v>
      </c>
      <c r="F4" s="94" t="s">
        <v>115</v>
      </c>
      <c r="G4" s="94" t="s">
        <v>117</v>
      </c>
      <c r="H4" s="94" t="s">
        <v>10</v>
      </c>
      <c r="I4" s="94" t="s">
        <v>71</v>
      </c>
      <c r="J4" s="94" t="s">
        <v>116</v>
      </c>
    </row>
    <row r="5" spans="1:12" x14ac:dyDescent="0.25">
      <c r="C5" s="102" t="s">
        <v>350</v>
      </c>
      <c r="D5" s="91" t="s">
        <v>72</v>
      </c>
      <c r="E5" s="92">
        <f>52131936.9</f>
        <v>52131936.899999999</v>
      </c>
      <c r="F5" s="240">
        <f>62673457.2</f>
        <v>62673457.200000003</v>
      </c>
      <c r="G5" s="92"/>
      <c r="H5" s="92"/>
      <c r="I5" s="92"/>
      <c r="J5" s="89"/>
      <c r="L5" s="251" t="s">
        <v>717</v>
      </c>
    </row>
    <row r="6" spans="1:12" x14ac:dyDescent="0.25">
      <c r="C6" s="102" t="s">
        <v>691</v>
      </c>
      <c r="D6" s="91" t="s">
        <v>79</v>
      </c>
      <c r="E6" s="92">
        <f>0</f>
        <v>0</v>
      </c>
      <c r="F6" s="240">
        <f>0</f>
        <v>0</v>
      </c>
      <c r="G6" s="92"/>
      <c r="H6" s="92"/>
      <c r="I6" s="240">
        <f>(E6+F6)/2</f>
        <v>0</v>
      </c>
      <c r="J6" s="89"/>
      <c r="L6" s="251"/>
    </row>
    <row r="7" spans="1:12" x14ac:dyDescent="0.25">
      <c r="C7" s="102" t="s">
        <v>692</v>
      </c>
      <c r="D7" s="91" t="s">
        <v>82</v>
      </c>
      <c r="E7" s="92">
        <f>-43170473.04</f>
        <v>-43170473.039999999</v>
      </c>
      <c r="F7" s="92">
        <f>-52615150.58</f>
        <v>-52615150.579999998</v>
      </c>
      <c r="G7" s="92"/>
      <c r="H7" s="92"/>
      <c r="I7" s="92"/>
      <c r="J7" s="89"/>
      <c r="L7" s="251"/>
    </row>
    <row r="8" spans="1:12" x14ac:dyDescent="0.25">
      <c r="C8" s="102" t="s">
        <v>351</v>
      </c>
      <c r="D8" s="91" t="s">
        <v>83</v>
      </c>
      <c r="E8" s="92">
        <f>0</f>
        <v>0</v>
      </c>
      <c r="F8" s="92">
        <f>0</f>
        <v>0</v>
      </c>
      <c r="G8" s="92"/>
      <c r="H8" s="92"/>
      <c r="I8" s="92"/>
      <c r="J8" s="89"/>
      <c r="L8" s="251"/>
    </row>
    <row r="9" spans="1:12" x14ac:dyDescent="0.25">
      <c r="C9" s="102" t="s">
        <v>693</v>
      </c>
      <c r="D9" s="91" t="s">
        <v>95</v>
      </c>
      <c r="E9" s="92">
        <f>-9368013.65</f>
        <v>-9368013.6500000004</v>
      </c>
      <c r="F9" s="92">
        <f>-9368013.65</f>
        <v>-9368013.6500000004</v>
      </c>
      <c r="G9" s="92"/>
      <c r="H9" s="92"/>
      <c r="I9" s="92"/>
      <c r="J9" s="89"/>
      <c r="L9" s="251"/>
    </row>
    <row r="10" spans="1:12" x14ac:dyDescent="0.25">
      <c r="C10" s="102">
        <v>30400</v>
      </c>
      <c r="D10" s="91" t="s">
        <v>142</v>
      </c>
      <c r="E10" s="92">
        <f>406549.79</f>
        <v>406549.79</v>
      </c>
      <c r="F10" s="92">
        <f>-690292.97</f>
        <v>-690292.97</v>
      </c>
      <c r="G10" s="92"/>
      <c r="H10" s="92"/>
      <c r="I10" s="92"/>
      <c r="J10" s="89"/>
      <c r="L10" s="251"/>
    </row>
    <row r="11" spans="1:12" x14ac:dyDescent="0.25">
      <c r="C11" s="102">
        <v>14500</v>
      </c>
      <c r="D11" s="91" t="s">
        <v>118</v>
      </c>
      <c r="E11" s="92">
        <f>13527612.73</f>
        <v>13527612.73</v>
      </c>
      <c r="F11" s="240">
        <f>11284026.65</f>
        <v>11284026.65</v>
      </c>
      <c r="G11" s="92"/>
      <c r="H11" s="92"/>
      <c r="I11" s="240">
        <f>(E11+F11)/2</f>
        <v>12405819.690000001</v>
      </c>
      <c r="J11" s="92"/>
      <c r="L11" s="251"/>
    </row>
    <row r="12" spans="1:12" x14ac:dyDescent="0.25">
      <c r="C12" s="102">
        <v>13400</v>
      </c>
      <c r="D12" s="91" t="s">
        <v>119</v>
      </c>
      <c r="E12" s="92">
        <f>31465138.22</f>
        <v>31465138.219999999</v>
      </c>
      <c r="F12" s="240">
        <f>40290644.94</f>
        <v>40290644.939999998</v>
      </c>
      <c r="G12" s="92"/>
      <c r="H12" s="92"/>
      <c r="I12" s="92"/>
      <c r="J12" s="92"/>
    </row>
    <row r="13" spans="1:12" x14ac:dyDescent="0.25">
      <c r="C13" s="102">
        <v>22100</v>
      </c>
      <c r="D13" s="91" t="s">
        <v>120</v>
      </c>
      <c r="E13" s="92">
        <f>0</f>
        <v>0</v>
      </c>
      <c r="F13" s="240">
        <f>0</f>
        <v>0</v>
      </c>
      <c r="G13" s="92"/>
      <c r="H13" s="92"/>
      <c r="I13" s="92"/>
      <c r="J13" s="92"/>
    </row>
    <row r="14" spans="1:12" x14ac:dyDescent="0.25">
      <c r="C14" s="102">
        <v>22500</v>
      </c>
      <c r="D14" s="91" t="s">
        <v>121</v>
      </c>
      <c r="E14" s="92">
        <f>-43170473.04</f>
        <v>-43170473.039999999</v>
      </c>
      <c r="F14" s="92">
        <f>-52615150.58</f>
        <v>-52615150.579999998</v>
      </c>
      <c r="G14" s="92"/>
      <c r="H14" s="92"/>
      <c r="I14" s="92"/>
      <c r="J14" s="92"/>
    </row>
    <row r="15" spans="1:12" x14ac:dyDescent="0.25">
      <c r="C15" s="90"/>
      <c r="D15" s="91"/>
      <c r="E15" s="92"/>
      <c r="F15" s="92"/>
      <c r="G15" s="92"/>
      <c r="H15" s="89"/>
      <c r="I15" s="89"/>
      <c r="J15" s="89"/>
    </row>
    <row r="16" spans="1:12" x14ac:dyDescent="0.25">
      <c r="C16" s="102">
        <v>49950</v>
      </c>
      <c r="D16" s="91" t="s">
        <v>0</v>
      </c>
      <c r="E16" s="92"/>
      <c r="F16" s="92"/>
      <c r="G16" s="240">
        <f>18814001.52</f>
        <v>18814001.52</v>
      </c>
      <c r="H16" s="240">
        <f>20004709</f>
        <v>20004709</v>
      </c>
      <c r="I16" s="92"/>
      <c r="J16" s="240">
        <f>IF((Days_in_Period=365),G16,365/(Days_in_Period)*G16)</f>
        <v>19847140.331791908</v>
      </c>
    </row>
    <row r="17" spans="3:10" x14ac:dyDescent="0.25">
      <c r="C17" s="102">
        <v>59950</v>
      </c>
      <c r="D17" s="91" t="s">
        <v>1</v>
      </c>
      <c r="E17" s="92"/>
      <c r="F17" s="92"/>
      <c r="G17" s="240">
        <f>-9976931.41</f>
        <v>-9976931.4100000001</v>
      </c>
      <c r="H17" s="92">
        <f>-11031458.82</f>
        <v>-11031458.82</v>
      </c>
      <c r="I17" s="92"/>
      <c r="J17" s="240">
        <f>IF((Days_in_Period=365),G17,365/(Days_in_Period)*G17)</f>
        <v>-10524797.585693641</v>
      </c>
    </row>
    <row r="18" spans="3:10" x14ac:dyDescent="0.25">
      <c r="C18" s="102">
        <v>69950</v>
      </c>
      <c r="D18" s="91" t="s">
        <v>112</v>
      </c>
      <c r="E18" s="92"/>
      <c r="F18" s="92"/>
      <c r="G18" s="240">
        <f>-8146777.14</f>
        <v>-8146777.1399999997</v>
      </c>
      <c r="H18" s="240">
        <f>-7998211.14</f>
        <v>-7998211.1399999997</v>
      </c>
      <c r="I18" s="92"/>
      <c r="J18" s="92">
        <f>IF((Days_in_Period=365),G18,365/(Days_in_Period)*G18)</f>
        <v>-8594143.5147398841</v>
      </c>
    </row>
    <row r="19" spans="3:10" x14ac:dyDescent="0.25">
      <c r="C19" s="102">
        <v>79950</v>
      </c>
      <c r="D19" s="91" t="s">
        <v>58</v>
      </c>
      <c r="E19" s="92"/>
      <c r="F19" s="92"/>
      <c r="G19" s="92">
        <f>0</f>
        <v>0</v>
      </c>
      <c r="H19" s="92">
        <f>-0.01</f>
        <v>-0.01</v>
      </c>
      <c r="I19" s="92"/>
      <c r="J19" s="92">
        <f>IF((Days_in_Period=365),G19,365/(Days_in_Period)*G19)</f>
        <v>0</v>
      </c>
    </row>
    <row r="20" spans="3:10" x14ac:dyDescent="0.25">
      <c r="C20" s="102">
        <v>80600</v>
      </c>
      <c r="D20" s="91" t="s">
        <v>60</v>
      </c>
      <c r="E20" s="92"/>
      <c r="F20" s="92"/>
      <c r="G20" s="240">
        <f>0</f>
        <v>0</v>
      </c>
      <c r="H20" s="92">
        <f>0</f>
        <v>0</v>
      </c>
      <c r="I20" s="92"/>
      <c r="J20" s="92">
        <f>IF((Days_in_Period=365),G20,365/(Days_in_Period)*G20)</f>
        <v>0</v>
      </c>
    </row>
    <row r="21" spans="3:10" x14ac:dyDescent="0.25">
      <c r="C21" s="102">
        <v>81300</v>
      </c>
      <c r="D21" s="91" t="s">
        <v>114</v>
      </c>
      <c r="E21" s="92"/>
      <c r="F21" s="92"/>
      <c r="G21" s="92">
        <f>0</f>
        <v>0</v>
      </c>
      <c r="H21" s="92">
        <f>0</f>
        <v>0</v>
      </c>
      <c r="I21" s="92"/>
      <c r="J21" s="92">
        <f>IF((Days_in_Period=365),G21,365/(Days_in_Period)*G21)</f>
        <v>0</v>
      </c>
    </row>
    <row r="22" spans="3:10" x14ac:dyDescent="0.25">
      <c r="C22" s="102">
        <v>84300</v>
      </c>
      <c r="D22" s="91" t="s">
        <v>64</v>
      </c>
      <c r="E22" s="92"/>
      <c r="F22" s="92"/>
      <c r="G22" s="92">
        <f>0</f>
        <v>0</v>
      </c>
      <c r="H22" s="92">
        <f>0</f>
        <v>0</v>
      </c>
      <c r="I22" s="92"/>
      <c r="J22" s="92">
        <f>IF((Days_in_Period=365),G22,365/(Days_in_Period)*G22)</f>
        <v>0</v>
      </c>
    </row>
    <row r="23" spans="3:10" x14ac:dyDescent="0.25">
      <c r="C23" s="102">
        <v>85300</v>
      </c>
      <c r="D23" s="91" t="s">
        <v>113</v>
      </c>
      <c r="E23" s="92"/>
      <c r="F23" s="92"/>
      <c r="G23" s="92">
        <f>0</f>
        <v>0</v>
      </c>
      <c r="H23" s="92">
        <f>0</f>
        <v>0</v>
      </c>
      <c r="I23" s="92"/>
      <c r="J23" s="92">
        <f>IF((Days_in_Period=365),G23,365/(Days_in_Period)*G23)</f>
        <v>0</v>
      </c>
    </row>
    <row r="24" spans="3:10" x14ac:dyDescent="0.25">
      <c r="C24" s="102">
        <v>66400</v>
      </c>
      <c r="D24" s="91" t="s">
        <v>131</v>
      </c>
      <c r="E24" s="92"/>
      <c r="F24" s="92"/>
      <c r="G24" s="240">
        <f>0</f>
        <v>0</v>
      </c>
      <c r="H24" s="240">
        <f>0</f>
        <v>0</v>
      </c>
      <c r="I24" s="92"/>
      <c r="J24" s="240">
        <f>IF((Days_in_Period=365),G24,365/(Days_in_Period)*G24)</f>
        <v>0</v>
      </c>
    </row>
    <row r="25" spans="3:10" x14ac:dyDescent="0.25">
      <c r="C25" s="100"/>
      <c r="D25" s="100"/>
      <c r="E25" s="100"/>
      <c r="F25" s="100"/>
      <c r="G25" s="100"/>
      <c r="H25" s="100"/>
      <c r="I25" s="100"/>
      <c r="J25" s="101"/>
    </row>
    <row r="26" spans="3:10" x14ac:dyDescent="0.25">
      <c r="C26" s="94" t="s">
        <v>137</v>
      </c>
      <c r="D26" s="104" t="s">
        <v>139</v>
      </c>
      <c r="E26" s="94" t="s">
        <v>70</v>
      </c>
      <c r="F26" s="94" t="s">
        <v>115</v>
      </c>
      <c r="G26" s="94" t="s">
        <v>117</v>
      </c>
      <c r="H26" s="94" t="s">
        <v>10</v>
      </c>
      <c r="I26" s="94" t="s">
        <v>71</v>
      </c>
      <c r="J26" s="94" t="s">
        <v>116</v>
      </c>
    </row>
    <row r="27" spans="3:10" x14ac:dyDescent="0.25">
      <c r="C27" s="100"/>
      <c r="D27" s="97" t="s">
        <v>122</v>
      </c>
      <c r="E27" s="241">
        <f>E5+E6</f>
        <v>52131936.899999999</v>
      </c>
      <c r="F27" s="241">
        <f>F5+F6</f>
        <v>62673457.200000003</v>
      </c>
      <c r="G27" s="98"/>
      <c r="H27" s="98"/>
      <c r="I27" s="240">
        <f>(E27+F27)/2</f>
        <v>57402697.049999997</v>
      </c>
      <c r="J27" s="99"/>
    </row>
    <row r="28" spans="3:10" x14ac:dyDescent="0.25">
      <c r="C28" s="100"/>
      <c r="D28" s="97" t="s">
        <v>82</v>
      </c>
      <c r="E28" s="98">
        <f>-E7</f>
        <v>43170473.039999999</v>
      </c>
      <c r="F28" s="241">
        <f>-F7</f>
        <v>52615150.579999998</v>
      </c>
      <c r="G28" s="98"/>
      <c r="H28" s="98"/>
      <c r="I28" s="92">
        <f>(E28+F28)/2</f>
        <v>47892811.810000002</v>
      </c>
      <c r="J28" s="99"/>
    </row>
    <row r="29" spans="3:10" x14ac:dyDescent="0.25">
      <c r="C29" s="100"/>
      <c r="D29" s="97" t="s">
        <v>141</v>
      </c>
      <c r="E29" s="98">
        <f>-E8</f>
        <v>0</v>
      </c>
      <c r="F29" s="241">
        <f>-F8</f>
        <v>0</v>
      </c>
      <c r="G29" s="98"/>
      <c r="H29" s="98"/>
      <c r="I29" s="240">
        <f>(E29+F29)/2</f>
        <v>0</v>
      </c>
      <c r="J29" s="99"/>
    </row>
    <row r="30" spans="3:10" x14ac:dyDescent="0.25">
      <c r="C30" s="100"/>
      <c r="D30" s="91" t="s">
        <v>123</v>
      </c>
      <c r="E30" s="93">
        <f>-E7-E8</f>
        <v>43170473.039999999</v>
      </c>
      <c r="F30" s="242">
        <f>-F7-F8</f>
        <v>52615150.579999998</v>
      </c>
      <c r="G30" s="93"/>
      <c r="H30" s="93"/>
      <c r="I30" s="93"/>
      <c r="J30" s="92"/>
    </row>
    <row r="31" spans="3:10" x14ac:dyDescent="0.25">
      <c r="C31" s="100"/>
      <c r="D31" s="91" t="s">
        <v>140</v>
      </c>
      <c r="E31" s="93">
        <f>-E9-E10</f>
        <v>8961463.8600000013</v>
      </c>
      <c r="F31" s="242">
        <f>-F9-F10</f>
        <v>10058306.620000001</v>
      </c>
      <c r="G31" s="93"/>
      <c r="H31" s="93"/>
      <c r="I31" s="240">
        <f>(E31+F31)/2</f>
        <v>9509885.2400000021</v>
      </c>
      <c r="J31" s="92"/>
    </row>
    <row r="32" spans="3:10" x14ac:dyDescent="0.25">
      <c r="C32" s="100"/>
      <c r="D32" s="91" t="s">
        <v>124</v>
      </c>
      <c r="E32" s="103">
        <f>-1*(E7+E8+E9)</f>
        <v>52538486.689999998</v>
      </c>
      <c r="F32" s="243">
        <f>-1*(F7+F8+F9)</f>
        <v>61983164.229999997</v>
      </c>
      <c r="G32" s="93"/>
      <c r="H32" s="93"/>
      <c r="I32" s="93"/>
      <c r="J32" s="92"/>
    </row>
    <row r="33" spans="3:10" x14ac:dyDescent="0.25">
      <c r="C33" s="100"/>
      <c r="D33" s="91" t="s">
        <v>121</v>
      </c>
      <c r="E33" s="103">
        <f>-E14</f>
        <v>43170473.039999999</v>
      </c>
      <c r="F33" s="243">
        <f>-F14</f>
        <v>52615150.579999998</v>
      </c>
      <c r="G33" s="93"/>
      <c r="H33" s="93"/>
      <c r="I33" s="93"/>
      <c r="J33" s="92"/>
    </row>
    <row r="34" spans="3:10" x14ac:dyDescent="0.25">
      <c r="C34" s="100"/>
      <c r="D34" s="89"/>
      <c r="E34" s="89"/>
      <c r="F34" s="89"/>
      <c r="G34" s="89"/>
      <c r="H34" s="89"/>
      <c r="I34" s="89"/>
      <c r="J34" s="92"/>
    </row>
    <row r="35" spans="3:10" x14ac:dyDescent="0.25">
      <c r="C35" s="100"/>
      <c r="D35" s="91" t="s">
        <v>125</v>
      </c>
      <c r="E35" s="93"/>
      <c r="F35" s="93"/>
      <c r="G35" s="242">
        <f>G16+G17</f>
        <v>8837070.1099999994</v>
      </c>
      <c r="H35" s="242">
        <f>H16+H17</f>
        <v>8973250.1799999997</v>
      </c>
      <c r="I35" s="93"/>
      <c r="J35" s="92"/>
    </row>
    <row r="36" spans="3:10" x14ac:dyDescent="0.25">
      <c r="C36" s="100"/>
      <c r="D36" s="91" t="s">
        <v>126</v>
      </c>
      <c r="E36" s="93"/>
      <c r="F36" s="93"/>
      <c r="G36" s="242">
        <f>G16+G17+G18</f>
        <v>690292.96999999974</v>
      </c>
      <c r="H36" s="93">
        <f>H16+H17+H18</f>
        <v>975039.04</v>
      </c>
      <c r="I36" s="93"/>
      <c r="J36" s="92"/>
    </row>
    <row r="37" spans="3:10" x14ac:dyDescent="0.25">
      <c r="C37" s="100"/>
      <c r="D37" s="91" t="s">
        <v>129</v>
      </c>
      <c r="E37" s="93"/>
      <c r="F37" s="93"/>
      <c r="G37" s="242">
        <f>G19+G20</f>
        <v>0</v>
      </c>
      <c r="H37" s="242">
        <f>H19+H20</f>
        <v>-0.01</v>
      </c>
      <c r="I37" s="93"/>
      <c r="J37" s="240">
        <f>IF((Days_in_Period=365),G37,365/(Days_in_Period)*G37)</f>
        <v>0</v>
      </c>
    </row>
    <row r="38" spans="3:10" x14ac:dyDescent="0.25">
      <c r="C38" s="100"/>
      <c r="D38" s="91" t="s">
        <v>127</v>
      </c>
      <c r="E38" s="93"/>
      <c r="F38" s="93"/>
      <c r="G38" s="242">
        <f>SUM(G16:G21)</f>
        <v>690292.96999999974</v>
      </c>
      <c r="H38" s="93">
        <f>SUM(H16:H21)</f>
        <v>975039.03</v>
      </c>
      <c r="I38" s="93"/>
      <c r="J38" s="240">
        <f>IF((Days_in_Period=365),G38,365/(Days_in_Period)*G38)</f>
        <v>728199.23135838122</v>
      </c>
    </row>
    <row r="39" spans="3:10" x14ac:dyDescent="0.25">
      <c r="C39" s="100"/>
      <c r="D39" s="91" t="s">
        <v>128</v>
      </c>
      <c r="E39" s="93"/>
      <c r="F39" s="93"/>
      <c r="G39" s="242">
        <f>SUM(G16:G22)</f>
        <v>690292.96999999974</v>
      </c>
      <c r="H39" s="93">
        <f>SUM(H16:H22)</f>
        <v>975039.03</v>
      </c>
      <c r="I39" s="93"/>
      <c r="J39" s="240">
        <f>IF((Days_in_Period=365),G39,365/(Days_in_Period)*G39)</f>
        <v>728199.23135838122</v>
      </c>
    </row>
    <row r="40" spans="3:10" x14ac:dyDescent="0.25">
      <c r="C40" s="100"/>
      <c r="D40" s="91" t="s">
        <v>3</v>
      </c>
      <c r="E40" s="93"/>
      <c r="F40" s="93"/>
      <c r="G40" s="242">
        <f>SUM(G16:G23)</f>
        <v>690292.96999999974</v>
      </c>
      <c r="H40" s="242">
        <f>SUM(H16:H23)</f>
        <v>975039.03</v>
      </c>
      <c r="I40" s="93"/>
      <c r="J40" s="240">
        <f>IF((Days_in_Period=365),G40,365/(Days_in_Period)*G40)</f>
        <v>728199.23135838122</v>
      </c>
    </row>
    <row r="41" spans="3:10" x14ac:dyDescent="0.25">
      <c r="J41" s="86"/>
    </row>
  </sheetData>
  <mergeCells count="1">
    <mergeCell ref="L5:L11"/>
  </mergeCells>
  <pageMargins left="0.7" right="0.7" top="0.75" bottom="0.75" header="0.3" footer="0.3"/>
  <pageSetup orientation="portrait" horizontalDpi="300" verticalDpi="3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829</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806</v>
      </c>
      <c r="F5" s="106" t="s">
        <v>806</v>
      </c>
      <c r="L5" s="249" t="s">
        <v>717</v>
      </c>
    </row>
    <row r="6" spans="1:12" x14ac:dyDescent="0.25">
      <c r="C6" s="106" t="s">
        <v>691</v>
      </c>
      <c r="D6" s="106" t="s">
        <v>79</v>
      </c>
      <c r="E6" s="106" t="s">
        <v>806</v>
      </c>
      <c r="F6" s="106" t="s">
        <v>806</v>
      </c>
      <c r="I6" s="106" t="s">
        <v>610</v>
      </c>
    </row>
    <row r="7" spans="1:12" x14ac:dyDescent="0.25">
      <c r="C7" s="106" t="s">
        <v>692</v>
      </c>
      <c r="D7" s="106" t="s">
        <v>82</v>
      </c>
      <c r="E7" s="106" t="s">
        <v>806</v>
      </c>
      <c r="F7" s="106" t="s">
        <v>806</v>
      </c>
    </row>
    <row r="8" spans="1:12" x14ac:dyDescent="0.25">
      <c r="C8" s="106" t="s">
        <v>351</v>
      </c>
      <c r="D8" s="106" t="s">
        <v>83</v>
      </c>
      <c r="E8" s="106" t="s">
        <v>806</v>
      </c>
      <c r="F8" s="106" t="s">
        <v>806</v>
      </c>
    </row>
    <row r="9" spans="1:12" x14ac:dyDescent="0.25">
      <c r="C9" s="106" t="s">
        <v>693</v>
      </c>
      <c r="D9" s="106" t="s">
        <v>95</v>
      </c>
      <c r="E9" s="106" t="s">
        <v>806</v>
      </c>
      <c r="F9" s="106" t="s">
        <v>806</v>
      </c>
    </row>
    <row r="10" spans="1:12" x14ac:dyDescent="0.25">
      <c r="C10" s="106" t="s">
        <v>602</v>
      </c>
      <c r="D10" s="106" t="s">
        <v>142</v>
      </c>
      <c r="E10" s="106" t="s">
        <v>806</v>
      </c>
      <c r="F10" s="106" t="s">
        <v>806</v>
      </c>
    </row>
    <row r="11" spans="1:12" x14ac:dyDescent="0.25">
      <c r="C11" s="106" t="s">
        <v>550</v>
      </c>
      <c r="D11" s="106" t="s">
        <v>118</v>
      </c>
      <c r="E11" s="106" t="s">
        <v>806</v>
      </c>
      <c r="F11" s="106" t="s">
        <v>806</v>
      </c>
      <c r="I11" s="106" t="s">
        <v>621</v>
      </c>
    </row>
    <row r="12" spans="1:12" x14ac:dyDescent="0.25">
      <c r="C12" s="106" t="s">
        <v>545</v>
      </c>
      <c r="D12" s="106" t="s">
        <v>119</v>
      </c>
      <c r="E12" s="106" t="s">
        <v>806</v>
      </c>
      <c r="F12" s="106" t="s">
        <v>806</v>
      </c>
    </row>
    <row r="13" spans="1:12" x14ac:dyDescent="0.25">
      <c r="C13" s="106" t="s">
        <v>570</v>
      </c>
      <c r="D13" s="106" t="s">
        <v>120</v>
      </c>
      <c r="E13" s="106" t="s">
        <v>806</v>
      </c>
      <c r="F13" s="106" t="s">
        <v>806</v>
      </c>
    </row>
    <row r="14" spans="1:12" x14ac:dyDescent="0.25">
      <c r="C14" s="106" t="s">
        <v>576</v>
      </c>
      <c r="D14" s="106" t="s">
        <v>121</v>
      </c>
      <c r="E14" s="106" t="s">
        <v>806</v>
      </c>
      <c r="F14" s="106" t="s">
        <v>806</v>
      </c>
    </row>
    <row r="16" spans="1:12" x14ac:dyDescent="0.25">
      <c r="C16" s="106" t="s">
        <v>147</v>
      </c>
      <c r="D16" s="106" t="s">
        <v>0</v>
      </c>
      <c r="G16" s="106" t="s">
        <v>806</v>
      </c>
      <c r="H16" s="106" t="s">
        <v>806</v>
      </c>
      <c r="J16" s="106" t="s">
        <v>630</v>
      </c>
    </row>
    <row r="17" spans="3:10" x14ac:dyDescent="0.25">
      <c r="C17" s="106" t="s">
        <v>631</v>
      </c>
      <c r="D17" s="106" t="s">
        <v>1</v>
      </c>
      <c r="G17" s="106" t="s">
        <v>806</v>
      </c>
      <c r="H17" s="106" t="s">
        <v>806</v>
      </c>
      <c r="J17" s="106" t="s">
        <v>634</v>
      </c>
    </row>
    <row r="18" spans="3:10" x14ac:dyDescent="0.25">
      <c r="C18" s="106" t="s">
        <v>635</v>
      </c>
      <c r="D18" s="106" t="s">
        <v>112</v>
      </c>
      <c r="G18" s="106" t="s">
        <v>806</v>
      </c>
      <c r="H18" s="106" t="s">
        <v>806</v>
      </c>
      <c r="J18" s="106" t="s">
        <v>638</v>
      </c>
    </row>
    <row r="19" spans="3:10" x14ac:dyDescent="0.25">
      <c r="C19" s="106" t="s">
        <v>505</v>
      </c>
      <c r="D19" s="106" t="s">
        <v>58</v>
      </c>
      <c r="G19" s="106" t="s">
        <v>806</v>
      </c>
      <c r="H19" s="106" t="s">
        <v>806</v>
      </c>
      <c r="J19" s="106" t="s">
        <v>641</v>
      </c>
    </row>
    <row r="20" spans="3:10" x14ac:dyDescent="0.25">
      <c r="C20" s="106" t="s">
        <v>511</v>
      </c>
      <c r="D20" s="106" t="s">
        <v>60</v>
      </c>
      <c r="G20" s="106" t="s">
        <v>806</v>
      </c>
      <c r="H20" s="106" t="s">
        <v>806</v>
      </c>
      <c r="J20" s="106" t="s">
        <v>644</v>
      </c>
    </row>
    <row r="21" spans="3:10" x14ac:dyDescent="0.25">
      <c r="C21" s="106" t="s">
        <v>515</v>
      </c>
      <c r="D21" s="106" t="s">
        <v>114</v>
      </c>
      <c r="G21" s="106" t="s">
        <v>806</v>
      </c>
      <c r="H21" s="106" t="s">
        <v>806</v>
      </c>
      <c r="J21" s="106" t="s">
        <v>647</v>
      </c>
    </row>
    <row r="22" spans="3:10" x14ac:dyDescent="0.25">
      <c r="C22" s="106" t="s">
        <v>524</v>
      </c>
      <c r="D22" s="106" t="s">
        <v>64</v>
      </c>
      <c r="G22" s="106" t="s">
        <v>806</v>
      </c>
      <c r="H22" s="106" t="s">
        <v>806</v>
      </c>
      <c r="J22" s="106" t="s">
        <v>650</v>
      </c>
    </row>
    <row r="23" spans="3:10" x14ac:dyDescent="0.25">
      <c r="C23" s="106" t="s">
        <v>149</v>
      </c>
      <c r="D23" s="106" t="s">
        <v>113</v>
      </c>
      <c r="G23" s="106" t="s">
        <v>806</v>
      </c>
      <c r="H23" s="106" t="s">
        <v>806</v>
      </c>
      <c r="J23" s="106" t="s">
        <v>653</v>
      </c>
    </row>
    <row r="24" spans="3:10" x14ac:dyDescent="0.25">
      <c r="C24" s="106" t="s">
        <v>489</v>
      </c>
      <c r="D24" s="106" t="s">
        <v>131</v>
      </c>
      <c r="G24" s="106" t="s">
        <v>806</v>
      </c>
      <c r="H24" s="106" t="s">
        <v>806</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5" x14ac:dyDescent="0.25"/>
  <sheetData>
    <row r="1" spans="1:8" x14ac:dyDescent="0.25">
      <c r="A1" s="106" t="s">
        <v>831</v>
      </c>
      <c r="C1" s="106" t="s">
        <v>132</v>
      </c>
      <c r="D1" s="106" t="s">
        <v>133</v>
      </c>
      <c r="E1" s="106" t="s">
        <v>724</v>
      </c>
      <c r="F1" s="106" t="s">
        <v>754</v>
      </c>
    </row>
    <row r="3" spans="1:8" x14ac:dyDescent="0.25">
      <c r="C3" s="106" t="s">
        <v>135</v>
      </c>
      <c r="D3" s="106" t="s">
        <v>133</v>
      </c>
    </row>
    <row r="4" spans="1:8" x14ac:dyDescent="0.25">
      <c r="A4" s="106" t="s">
        <v>134</v>
      </c>
      <c r="C4" s="106" t="s">
        <v>108</v>
      </c>
      <c r="D4" s="106" t="s">
        <v>807</v>
      </c>
      <c r="E4" s="106" t="s">
        <v>737</v>
      </c>
      <c r="G4" s="106" t="s">
        <v>143</v>
      </c>
      <c r="H4" s="106" t="s">
        <v>738</v>
      </c>
    </row>
    <row r="5" spans="1:8" x14ac:dyDescent="0.25">
      <c r="A5" s="106" t="s">
        <v>134</v>
      </c>
      <c r="C5" s="106" t="s">
        <v>110</v>
      </c>
      <c r="D5" s="106" t="s">
        <v>808</v>
      </c>
      <c r="F5" s="106" t="s">
        <v>755</v>
      </c>
      <c r="G5" s="106" t="s">
        <v>130</v>
      </c>
      <c r="H5" s="106" t="s">
        <v>739</v>
      </c>
    </row>
    <row r="6" spans="1:8" x14ac:dyDescent="0.25">
      <c r="A6" s="106" t="s">
        <v>134</v>
      </c>
      <c r="C6" s="106" t="s">
        <v>111</v>
      </c>
      <c r="D6" s="106" t="s">
        <v>809</v>
      </c>
      <c r="F6" s="106" t="s">
        <v>755</v>
      </c>
    </row>
    <row r="11" spans="1:8" ht="390" x14ac:dyDescent="0.25">
      <c r="C11" s="249" t="s">
        <v>717</v>
      </c>
    </row>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sheetViews>
  <sheetFormatPr defaultRowHeight="15" x14ac:dyDescent="0.25"/>
  <sheetData>
    <row r="1" spans="1:12" x14ac:dyDescent="0.25">
      <c r="A1" s="106" t="s">
        <v>833</v>
      </c>
      <c r="B1" s="106" t="s">
        <v>346</v>
      </c>
    </row>
    <row r="3" spans="1:12" x14ac:dyDescent="0.25">
      <c r="D3" s="106" t="s">
        <v>6</v>
      </c>
    </row>
    <row r="5" spans="1:12" x14ac:dyDescent="0.25">
      <c r="D5" s="106" t="s">
        <v>109</v>
      </c>
      <c r="E5" s="106" t="s">
        <v>144</v>
      </c>
    </row>
    <row r="6" spans="1:12" x14ac:dyDescent="0.25">
      <c r="D6" s="106" t="s">
        <v>341</v>
      </c>
      <c r="E6" s="106" t="s">
        <v>145</v>
      </c>
    </row>
    <row r="7" spans="1:12" x14ac:dyDescent="0.25">
      <c r="D7" s="106" t="s">
        <v>340</v>
      </c>
      <c r="E7" s="106" t="s">
        <v>146</v>
      </c>
    </row>
    <row r="8" spans="1:12" x14ac:dyDescent="0.25">
      <c r="B8" s="106" t="s">
        <v>348</v>
      </c>
    </row>
    <row r="9" spans="1:12" x14ac:dyDescent="0.25">
      <c r="J9" s="106" t="s">
        <v>8</v>
      </c>
    </row>
    <row r="10" spans="1:12" x14ac:dyDescent="0.25">
      <c r="F10" s="106" t="s">
        <v>9</v>
      </c>
      <c r="H10" s="106" t="s">
        <v>10</v>
      </c>
      <c r="J10" s="106" t="s">
        <v>11</v>
      </c>
      <c r="L10" s="106" t="s">
        <v>12</v>
      </c>
    </row>
    <row r="12" spans="1:12" x14ac:dyDescent="0.25">
      <c r="E12" s="106" t="s">
        <v>14</v>
      </c>
    </row>
    <row r="13" spans="1:12" x14ac:dyDescent="0.25">
      <c r="D13" s="106" t="s">
        <v>763</v>
      </c>
      <c r="E13" s="106" t="s">
        <v>398</v>
      </c>
      <c r="F13" s="106" t="s">
        <v>399</v>
      </c>
      <c r="H13" s="106" t="s">
        <v>400</v>
      </c>
      <c r="J13" s="106" t="s">
        <v>155</v>
      </c>
      <c r="L13" s="106" t="s">
        <v>156</v>
      </c>
    </row>
    <row r="14" spans="1:12" x14ac:dyDescent="0.25">
      <c r="D14" s="106" t="s">
        <v>764</v>
      </c>
      <c r="E14" s="106" t="s">
        <v>402</v>
      </c>
      <c r="F14" s="106" t="s">
        <v>403</v>
      </c>
      <c r="H14" s="106" t="s">
        <v>404</v>
      </c>
      <c r="J14" s="106" t="s">
        <v>162</v>
      </c>
      <c r="L14" s="106" t="s">
        <v>163</v>
      </c>
    </row>
    <row r="15" spans="1:12" x14ac:dyDescent="0.25">
      <c r="D15" s="106" t="s">
        <v>765</v>
      </c>
      <c r="E15" s="106" t="s">
        <v>406</v>
      </c>
      <c r="F15" s="106" t="s">
        <v>407</v>
      </c>
      <c r="H15" s="106" t="s">
        <v>408</v>
      </c>
      <c r="J15" s="106" t="s">
        <v>168</v>
      </c>
      <c r="L15" s="106" t="s">
        <v>169</v>
      </c>
    </row>
    <row r="16" spans="1:12" x14ac:dyDescent="0.25">
      <c r="D16" s="106" t="s">
        <v>421</v>
      </c>
      <c r="E16" s="106" t="s">
        <v>410</v>
      </c>
      <c r="F16" s="106" t="s">
        <v>411</v>
      </c>
      <c r="H16" s="106" t="s">
        <v>412</v>
      </c>
      <c r="J16" s="106" t="s">
        <v>174</v>
      </c>
      <c r="L16" s="106" t="s">
        <v>175</v>
      </c>
    </row>
    <row r="17" spans="4:12" x14ac:dyDescent="0.25">
      <c r="D17" s="106" t="s">
        <v>427</v>
      </c>
      <c r="E17" s="106" t="s">
        <v>414</v>
      </c>
      <c r="F17" s="106" t="s">
        <v>415</v>
      </c>
      <c r="H17" s="106" t="s">
        <v>416</v>
      </c>
      <c r="J17" s="106" t="s">
        <v>180</v>
      </c>
      <c r="L17" s="106" t="s">
        <v>181</v>
      </c>
    </row>
    <row r="18" spans="4:12" x14ac:dyDescent="0.25">
      <c r="D18" s="106" t="s">
        <v>766</v>
      </c>
      <c r="E18" s="106" t="s">
        <v>418</v>
      </c>
      <c r="F18" s="106" t="s">
        <v>419</v>
      </c>
      <c r="H18" s="106" t="s">
        <v>420</v>
      </c>
      <c r="J18" s="106" t="s">
        <v>186</v>
      </c>
      <c r="L18" s="106" t="s">
        <v>187</v>
      </c>
    </row>
    <row r="19" spans="4:12" x14ac:dyDescent="0.25">
      <c r="E19" s="106" t="s">
        <v>25</v>
      </c>
      <c r="F19" s="106" t="s">
        <v>767</v>
      </c>
      <c r="H19" s="106" t="s">
        <v>768</v>
      </c>
      <c r="J19" s="106" t="s">
        <v>425</v>
      </c>
      <c r="L19" s="106" t="s">
        <v>426</v>
      </c>
    </row>
    <row r="21" spans="4:12" x14ac:dyDescent="0.25">
      <c r="E21" s="106" t="s">
        <v>26</v>
      </c>
    </row>
    <row r="22" spans="4:12" x14ac:dyDescent="0.25">
      <c r="D22" s="106" t="s">
        <v>769</v>
      </c>
      <c r="E22" s="106" t="s">
        <v>770</v>
      </c>
      <c r="F22" s="106" t="s">
        <v>771</v>
      </c>
      <c r="H22" s="106" t="s">
        <v>772</v>
      </c>
      <c r="J22" s="106" t="s">
        <v>199</v>
      </c>
      <c r="L22" s="106" t="s">
        <v>200</v>
      </c>
    </row>
    <row r="23" spans="4:12" x14ac:dyDescent="0.25">
      <c r="D23" s="106" t="s">
        <v>435</v>
      </c>
      <c r="E23" s="106" t="s">
        <v>773</v>
      </c>
      <c r="F23" s="106" t="s">
        <v>774</v>
      </c>
      <c r="H23" s="106" t="s">
        <v>775</v>
      </c>
      <c r="J23" s="106" t="s">
        <v>205</v>
      </c>
      <c r="L23" s="106" t="s">
        <v>206</v>
      </c>
    </row>
    <row r="24" spans="4:12" x14ac:dyDescent="0.25">
      <c r="D24" s="106" t="s">
        <v>776</v>
      </c>
      <c r="E24" s="106" t="s">
        <v>436</v>
      </c>
      <c r="F24" s="106" t="s">
        <v>437</v>
      </c>
      <c r="H24" s="106" t="s">
        <v>438</v>
      </c>
      <c r="J24" s="106" t="s">
        <v>211</v>
      </c>
      <c r="L24" s="106" t="s">
        <v>212</v>
      </c>
    </row>
    <row r="25" spans="4:12" x14ac:dyDescent="0.25">
      <c r="D25" s="106" t="s">
        <v>762</v>
      </c>
      <c r="E25" s="106" t="s">
        <v>440</v>
      </c>
      <c r="F25" s="106" t="s">
        <v>441</v>
      </c>
      <c r="H25" s="106" t="s">
        <v>442</v>
      </c>
      <c r="J25" s="106" t="s">
        <v>217</v>
      </c>
      <c r="L25" s="106" t="s">
        <v>218</v>
      </c>
    </row>
    <row r="26" spans="4:12" x14ac:dyDescent="0.25">
      <c r="E26" s="106" t="s">
        <v>36</v>
      </c>
      <c r="F26" s="106" t="s">
        <v>777</v>
      </c>
      <c r="H26" s="106" t="s">
        <v>778</v>
      </c>
      <c r="J26" s="106" t="s">
        <v>223</v>
      </c>
      <c r="L26" s="106" t="s">
        <v>224</v>
      </c>
    </row>
    <row r="27" spans="4:12" x14ac:dyDescent="0.25">
      <c r="L27" s="106" t="s">
        <v>228</v>
      </c>
    </row>
    <row r="28" spans="4:12" x14ac:dyDescent="0.25">
      <c r="E28" s="106" t="s">
        <v>37</v>
      </c>
      <c r="F28" s="106" t="s">
        <v>779</v>
      </c>
      <c r="H28" s="106" t="s">
        <v>780</v>
      </c>
      <c r="J28" s="106" t="s">
        <v>231</v>
      </c>
      <c r="L28" s="106" t="s">
        <v>232</v>
      </c>
    </row>
    <row r="31" spans="4:12" x14ac:dyDescent="0.25">
      <c r="E31" s="106" t="s">
        <v>38</v>
      </c>
    </row>
    <row r="32" spans="4:12" x14ac:dyDescent="0.25">
      <c r="D32" s="106" t="s">
        <v>465</v>
      </c>
      <c r="E32" s="106" t="s">
        <v>577</v>
      </c>
      <c r="F32" s="106" t="s">
        <v>781</v>
      </c>
      <c r="H32" s="106" t="s">
        <v>782</v>
      </c>
      <c r="J32" s="106" t="s">
        <v>236</v>
      </c>
      <c r="L32" s="106" t="s">
        <v>237</v>
      </c>
    </row>
    <row r="33" spans="4:12" x14ac:dyDescent="0.25">
      <c r="D33" s="106" t="s">
        <v>469</v>
      </c>
      <c r="E33" s="106" t="s">
        <v>580</v>
      </c>
      <c r="F33" s="106" t="s">
        <v>783</v>
      </c>
      <c r="H33" s="106" t="s">
        <v>784</v>
      </c>
      <c r="J33" s="106" t="s">
        <v>242</v>
      </c>
      <c r="L33" s="106" t="s">
        <v>243</v>
      </c>
    </row>
    <row r="34" spans="4:12" x14ac:dyDescent="0.25">
      <c r="D34" s="106" t="s">
        <v>477</v>
      </c>
      <c r="E34" s="106" t="s">
        <v>583</v>
      </c>
      <c r="F34" s="106" t="s">
        <v>785</v>
      </c>
      <c r="H34" s="106" t="s">
        <v>786</v>
      </c>
      <c r="J34" s="106" t="s">
        <v>248</v>
      </c>
      <c r="L34" s="106" t="s">
        <v>249</v>
      </c>
    </row>
    <row r="35" spans="4:12" x14ac:dyDescent="0.25">
      <c r="D35" s="106" t="s">
        <v>481</v>
      </c>
      <c r="E35" s="106" t="s">
        <v>466</v>
      </c>
      <c r="F35" s="106" t="s">
        <v>467</v>
      </c>
      <c r="H35" s="106" t="s">
        <v>468</v>
      </c>
      <c r="J35" s="106" t="s">
        <v>254</v>
      </c>
      <c r="L35" s="106" t="s">
        <v>255</v>
      </c>
    </row>
    <row r="36" spans="4:12" x14ac:dyDescent="0.25">
      <c r="D36" s="106" t="s">
        <v>485</v>
      </c>
      <c r="E36" s="106" t="s">
        <v>470</v>
      </c>
      <c r="F36" s="106" t="s">
        <v>471</v>
      </c>
      <c r="H36" s="106" t="s">
        <v>472</v>
      </c>
      <c r="J36" s="106" t="s">
        <v>260</v>
      </c>
      <c r="L36" s="106" t="s">
        <v>261</v>
      </c>
    </row>
    <row r="37" spans="4:12" x14ac:dyDescent="0.25">
      <c r="D37" s="106" t="s">
        <v>489</v>
      </c>
      <c r="E37" s="106" t="s">
        <v>474</v>
      </c>
      <c r="F37" s="106" t="s">
        <v>475</v>
      </c>
      <c r="H37" s="106" t="s">
        <v>476</v>
      </c>
      <c r="J37" s="106" t="s">
        <v>266</v>
      </c>
      <c r="L37" s="106" t="s">
        <v>267</v>
      </c>
    </row>
    <row r="38" spans="4:12" x14ac:dyDescent="0.25">
      <c r="D38" s="106" t="s">
        <v>495</v>
      </c>
      <c r="E38" s="106" t="s">
        <v>478</v>
      </c>
      <c r="F38" s="106" t="s">
        <v>479</v>
      </c>
      <c r="H38" s="106" t="s">
        <v>480</v>
      </c>
      <c r="J38" s="106" t="s">
        <v>272</v>
      </c>
      <c r="L38" s="106" t="s">
        <v>273</v>
      </c>
    </row>
    <row r="39" spans="4:12" x14ac:dyDescent="0.25">
      <c r="E39" s="106" t="s">
        <v>55</v>
      </c>
      <c r="F39" s="106" t="s">
        <v>787</v>
      </c>
      <c r="H39" s="106" t="s">
        <v>788</v>
      </c>
      <c r="J39" s="106" t="s">
        <v>279</v>
      </c>
      <c r="L39" s="106" t="s">
        <v>280</v>
      </c>
    </row>
    <row r="41" spans="4:12" x14ac:dyDescent="0.25">
      <c r="E41" s="106" t="s">
        <v>56</v>
      </c>
      <c r="F41" s="106" t="s">
        <v>789</v>
      </c>
      <c r="H41" s="106" t="s">
        <v>790</v>
      </c>
      <c r="J41" s="106" t="s">
        <v>493</v>
      </c>
      <c r="L41" s="106" t="s">
        <v>494</v>
      </c>
    </row>
    <row r="43" spans="4:12" x14ac:dyDescent="0.25">
      <c r="D43" s="106" t="s">
        <v>505</v>
      </c>
      <c r="E43" s="106" t="s">
        <v>791</v>
      </c>
      <c r="F43" s="106" t="s">
        <v>792</v>
      </c>
      <c r="H43" s="106" t="s">
        <v>793</v>
      </c>
      <c r="J43" s="106" t="s">
        <v>501</v>
      </c>
      <c r="L43" s="106" t="s">
        <v>502</v>
      </c>
    </row>
    <row r="44" spans="4:12" x14ac:dyDescent="0.25">
      <c r="D44" s="106" t="s">
        <v>511</v>
      </c>
      <c r="E44" s="106" t="s">
        <v>794</v>
      </c>
      <c r="F44" s="106" t="s">
        <v>795</v>
      </c>
      <c r="H44" s="106" t="s">
        <v>796</v>
      </c>
      <c r="J44" s="106" t="s">
        <v>296</v>
      </c>
      <c r="L44" s="106" t="s">
        <v>297</v>
      </c>
    </row>
    <row r="45" spans="4:12" x14ac:dyDescent="0.25">
      <c r="D45" s="106" t="s">
        <v>515</v>
      </c>
      <c r="E45" s="106" t="s">
        <v>797</v>
      </c>
      <c r="F45" s="106" t="s">
        <v>798</v>
      </c>
      <c r="H45" s="106" t="s">
        <v>799</v>
      </c>
      <c r="J45" s="106" t="s">
        <v>302</v>
      </c>
      <c r="L45" s="106" t="s">
        <v>303</v>
      </c>
    </row>
    <row r="47" spans="4:12" x14ac:dyDescent="0.25">
      <c r="E47" s="106" t="s">
        <v>347</v>
      </c>
      <c r="F47" s="106" t="s">
        <v>800</v>
      </c>
      <c r="H47" s="106" t="s">
        <v>801</v>
      </c>
      <c r="J47" s="106" t="s">
        <v>509</v>
      </c>
      <c r="L47" s="106" t="s">
        <v>510</v>
      </c>
    </row>
    <row r="49" spans="4:12" x14ac:dyDescent="0.25">
      <c r="D49" s="106" t="s">
        <v>524</v>
      </c>
      <c r="E49" s="106" t="s">
        <v>516</v>
      </c>
      <c r="F49" s="106" t="s">
        <v>517</v>
      </c>
      <c r="H49" s="106" t="s">
        <v>518</v>
      </c>
      <c r="J49" s="106" t="s">
        <v>519</v>
      </c>
      <c r="L49" s="106" t="s">
        <v>520</v>
      </c>
    </row>
    <row r="51" spans="4:12" x14ac:dyDescent="0.25">
      <c r="E51" s="106" t="s">
        <v>67</v>
      </c>
      <c r="F51" s="106" t="s">
        <v>802</v>
      </c>
      <c r="G51" s="106" t="s">
        <v>536</v>
      </c>
      <c r="H51" s="106" t="s">
        <v>803</v>
      </c>
      <c r="J51" s="106" t="s">
        <v>523</v>
      </c>
      <c r="L51" s="106" t="s">
        <v>323</v>
      </c>
    </row>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workbookViewId="0"/>
  </sheetViews>
  <sheetFormatPr defaultRowHeight="15" x14ac:dyDescent="0.25"/>
  <sheetData>
    <row r="1" spans="1:8" x14ac:dyDescent="0.25">
      <c r="A1" s="106" t="s">
        <v>835</v>
      </c>
      <c r="B1" s="106" t="s">
        <v>346</v>
      </c>
    </row>
    <row r="3" spans="1:8" x14ac:dyDescent="0.25">
      <c r="D3" s="106" t="s">
        <v>68</v>
      </c>
    </row>
    <row r="5" spans="1:8" x14ac:dyDescent="0.25">
      <c r="D5" s="106" t="s">
        <v>538</v>
      </c>
    </row>
    <row r="8" spans="1:8" x14ac:dyDescent="0.25">
      <c r="D8" s="106" t="s">
        <v>69</v>
      </c>
    </row>
    <row r="9" spans="1:8" x14ac:dyDescent="0.25">
      <c r="F9" s="106" t="s">
        <v>72</v>
      </c>
    </row>
    <row r="10" spans="1:8" x14ac:dyDescent="0.25">
      <c r="D10" s="106" t="s">
        <v>539</v>
      </c>
      <c r="F10" s="106" t="s">
        <v>540</v>
      </c>
      <c r="H10" s="106" t="s">
        <v>541</v>
      </c>
    </row>
    <row r="11" spans="1:8" x14ac:dyDescent="0.25">
      <c r="B11" s="106" t="s">
        <v>345</v>
      </c>
      <c r="D11" s="106" t="s">
        <v>542</v>
      </c>
      <c r="F11" s="106" t="s">
        <v>543</v>
      </c>
      <c r="H11" s="106" t="s">
        <v>544</v>
      </c>
    </row>
    <row r="12" spans="1:8" x14ac:dyDescent="0.25">
      <c r="D12" s="106" t="s">
        <v>545</v>
      </c>
      <c r="F12" s="106" t="s">
        <v>546</v>
      </c>
      <c r="H12" s="106" t="s">
        <v>547</v>
      </c>
    </row>
    <row r="13" spans="1:8" x14ac:dyDescent="0.25">
      <c r="D13" s="106" t="s">
        <v>548</v>
      </c>
      <c r="F13" s="106" t="s">
        <v>398</v>
      </c>
      <c r="H13" s="106" t="s">
        <v>549</v>
      </c>
    </row>
    <row r="14" spans="1:8" x14ac:dyDescent="0.25">
      <c r="D14" s="106" t="s">
        <v>550</v>
      </c>
      <c r="F14" s="106" t="s">
        <v>402</v>
      </c>
      <c r="H14" s="106" t="s">
        <v>551</v>
      </c>
    </row>
    <row r="15" spans="1:8" x14ac:dyDescent="0.25">
      <c r="D15" s="106" t="s">
        <v>552</v>
      </c>
      <c r="F15" s="106" t="s">
        <v>406</v>
      </c>
      <c r="H15" s="106" t="s">
        <v>553</v>
      </c>
    </row>
    <row r="16" spans="1:8" x14ac:dyDescent="0.25">
      <c r="F16" s="106" t="s">
        <v>78</v>
      </c>
      <c r="H16" s="106" t="s">
        <v>554</v>
      </c>
    </row>
    <row r="18" spans="4:13" x14ac:dyDescent="0.25">
      <c r="F18" s="106" t="s">
        <v>79</v>
      </c>
    </row>
    <row r="19" spans="4:13" x14ac:dyDescent="0.25">
      <c r="D19" s="106" t="s">
        <v>555</v>
      </c>
      <c r="F19" s="106" t="s">
        <v>422</v>
      </c>
      <c r="H19" s="106" t="s">
        <v>556</v>
      </c>
    </row>
    <row r="20" spans="4:13" x14ac:dyDescent="0.25">
      <c r="D20" s="106" t="s">
        <v>557</v>
      </c>
      <c r="F20" s="106" t="s">
        <v>428</v>
      </c>
      <c r="H20" s="106" t="s">
        <v>558</v>
      </c>
      <c r="K20" s="106" t="s">
        <v>73</v>
      </c>
      <c r="L20" s="106" t="s">
        <v>74</v>
      </c>
    </row>
    <row r="21" spans="4:13" x14ac:dyDescent="0.25">
      <c r="D21" s="106" t="s">
        <v>559</v>
      </c>
      <c r="F21" s="106" t="s">
        <v>560</v>
      </c>
      <c r="H21" s="106" t="s">
        <v>561</v>
      </c>
      <c r="K21" s="106" t="s">
        <v>75</v>
      </c>
      <c r="L21" s="106" t="s">
        <v>76</v>
      </c>
      <c r="M21" s="106" t="s">
        <v>77</v>
      </c>
    </row>
    <row r="22" spans="4:13" x14ac:dyDescent="0.25">
      <c r="F22" s="106" t="s">
        <v>78</v>
      </c>
      <c r="H22" s="106" t="s">
        <v>562</v>
      </c>
      <c r="K22" s="106" t="s">
        <v>177</v>
      </c>
      <c r="L22" s="106" t="s">
        <v>563</v>
      </c>
    </row>
    <row r="23" spans="4:13" x14ac:dyDescent="0.25">
      <c r="K23" s="106" t="s">
        <v>564</v>
      </c>
      <c r="L23" s="106" t="s">
        <v>565</v>
      </c>
      <c r="M23" s="106" t="s">
        <v>566</v>
      </c>
    </row>
    <row r="25" spans="4:13" x14ac:dyDescent="0.25">
      <c r="D25" s="106" t="s">
        <v>80</v>
      </c>
      <c r="H25" s="106" t="s">
        <v>567</v>
      </c>
      <c r="K25" s="106" t="s">
        <v>568</v>
      </c>
    </row>
    <row r="26" spans="4:13" x14ac:dyDescent="0.25">
      <c r="K26" s="106" t="s">
        <v>569</v>
      </c>
    </row>
    <row r="28" spans="4:13" x14ac:dyDescent="0.25">
      <c r="D28" s="106" t="s">
        <v>81</v>
      </c>
    </row>
    <row r="29" spans="4:13" x14ac:dyDescent="0.25">
      <c r="F29" s="106" t="s">
        <v>82</v>
      </c>
    </row>
    <row r="30" spans="4:13" x14ac:dyDescent="0.25">
      <c r="D30" s="106" t="s">
        <v>570</v>
      </c>
      <c r="F30" s="106" t="s">
        <v>571</v>
      </c>
      <c r="H30" s="106" t="s">
        <v>572</v>
      </c>
    </row>
    <row r="31" spans="4:13" x14ac:dyDescent="0.25">
      <c r="D31" s="106" t="s">
        <v>573</v>
      </c>
      <c r="F31" s="106" t="s">
        <v>574</v>
      </c>
      <c r="H31" s="106" t="s">
        <v>575</v>
      </c>
    </row>
    <row r="32" spans="4:13" x14ac:dyDescent="0.25">
      <c r="D32" s="106" t="s">
        <v>576</v>
      </c>
      <c r="F32" s="106" t="s">
        <v>577</v>
      </c>
      <c r="H32" s="106" t="s">
        <v>578</v>
      </c>
    </row>
    <row r="33" spans="4:8" x14ac:dyDescent="0.25">
      <c r="D33" s="106" t="s">
        <v>579</v>
      </c>
      <c r="F33" s="106" t="s">
        <v>580</v>
      </c>
      <c r="H33" s="106" t="s">
        <v>581</v>
      </c>
    </row>
    <row r="34" spans="4:8" x14ac:dyDescent="0.25">
      <c r="D34" s="106" t="s">
        <v>582</v>
      </c>
      <c r="F34" s="106" t="s">
        <v>583</v>
      </c>
      <c r="H34" s="106" t="s">
        <v>584</v>
      </c>
    </row>
    <row r="35" spans="4:8" x14ac:dyDescent="0.25">
      <c r="D35" s="106" t="s">
        <v>585</v>
      </c>
      <c r="F35" s="106" t="s">
        <v>466</v>
      </c>
      <c r="H35" s="106" t="s">
        <v>586</v>
      </c>
    </row>
    <row r="36" spans="4:8" x14ac:dyDescent="0.25">
      <c r="D36" s="106" t="s">
        <v>587</v>
      </c>
      <c r="F36" s="106" t="s">
        <v>470</v>
      </c>
      <c r="H36" s="106" t="s">
        <v>588</v>
      </c>
    </row>
    <row r="37" spans="4:8" x14ac:dyDescent="0.25">
      <c r="F37" s="106" t="s">
        <v>78</v>
      </c>
      <c r="H37" s="106" t="s">
        <v>589</v>
      </c>
    </row>
    <row r="39" spans="4:8" x14ac:dyDescent="0.25">
      <c r="F39" s="106" t="s">
        <v>83</v>
      </c>
    </row>
    <row r="40" spans="4:8" x14ac:dyDescent="0.25">
      <c r="D40" s="106" t="s">
        <v>590</v>
      </c>
      <c r="F40" s="106" t="s">
        <v>486</v>
      </c>
      <c r="H40" s="106" t="s">
        <v>591</v>
      </c>
    </row>
    <row r="41" spans="4:8" x14ac:dyDescent="0.25">
      <c r="D41" s="106" t="s">
        <v>592</v>
      </c>
      <c r="F41" s="106" t="s">
        <v>490</v>
      </c>
      <c r="H41" s="106" t="s">
        <v>593</v>
      </c>
    </row>
    <row r="42" spans="4:8" x14ac:dyDescent="0.25">
      <c r="D42" s="106" t="s">
        <v>594</v>
      </c>
      <c r="F42" s="106" t="s">
        <v>496</v>
      </c>
      <c r="H42" s="106" t="s">
        <v>595</v>
      </c>
    </row>
    <row r="43" spans="4:8" x14ac:dyDescent="0.25">
      <c r="F43" s="106" t="s">
        <v>78</v>
      </c>
      <c r="H43" s="106" t="s">
        <v>596</v>
      </c>
    </row>
    <row r="45" spans="4:8" x14ac:dyDescent="0.25">
      <c r="F45" s="106" t="s">
        <v>84</v>
      </c>
      <c r="H45" s="106" t="s">
        <v>597</v>
      </c>
    </row>
    <row r="47" spans="4:8" x14ac:dyDescent="0.25">
      <c r="F47" s="106" t="s">
        <v>349</v>
      </c>
    </row>
    <row r="48" spans="4:8" x14ac:dyDescent="0.25">
      <c r="D48" s="106" t="s">
        <v>598</v>
      </c>
      <c r="F48" s="106" t="s">
        <v>512</v>
      </c>
      <c r="H48" s="106" t="s">
        <v>599</v>
      </c>
    </row>
    <row r="49" spans="4:8" x14ac:dyDescent="0.25">
      <c r="D49" s="106" t="s">
        <v>600</v>
      </c>
      <c r="F49" s="106" t="s">
        <v>516</v>
      </c>
      <c r="H49" s="106" t="s">
        <v>601</v>
      </c>
    </row>
    <row r="50" spans="4:8" x14ac:dyDescent="0.25">
      <c r="D50" s="106" t="s">
        <v>602</v>
      </c>
      <c r="F50" s="106" t="s">
        <v>603</v>
      </c>
      <c r="H50" s="106" t="s">
        <v>604</v>
      </c>
    </row>
    <row r="51" spans="4:8" x14ac:dyDescent="0.25">
      <c r="F51" s="106" t="s">
        <v>78</v>
      </c>
      <c r="H51" s="106" t="s">
        <v>325</v>
      </c>
    </row>
    <row r="53" spans="4:8" x14ac:dyDescent="0.25">
      <c r="D53" s="106" t="s">
        <v>85</v>
      </c>
      <c r="H53" s="106" t="s">
        <v>605</v>
      </c>
    </row>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defaultRowHeight="15" x14ac:dyDescent="0.25"/>
  <sheetData>
    <row r="1" spans="1:12" x14ac:dyDescent="0.25">
      <c r="A1" s="106" t="s">
        <v>837</v>
      </c>
    </row>
    <row r="2" spans="1:12" x14ac:dyDescent="0.25">
      <c r="C2" s="106" t="s">
        <v>716</v>
      </c>
    </row>
    <row r="4" spans="1:12" x14ac:dyDescent="0.25">
      <c r="C4" s="106" t="s">
        <v>2</v>
      </c>
      <c r="D4" s="106" t="s">
        <v>136</v>
      </c>
      <c r="E4" s="106" t="s">
        <v>70</v>
      </c>
      <c r="F4" s="106" t="s">
        <v>115</v>
      </c>
      <c r="G4" s="106" t="s">
        <v>117</v>
      </c>
      <c r="H4" s="106" t="s">
        <v>10</v>
      </c>
      <c r="I4" s="106" t="s">
        <v>71</v>
      </c>
      <c r="J4" s="106" t="s">
        <v>116</v>
      </c>
    </row>
    <row r="5" spans="1:12" ht="390" x14ac:dyDescent="0.25">
      <c r="C5" s="106" t="s">
        <v>350</v>
      </c>
      <c r="D5" s="106" t="s">
        <v>72</v>
      </c>
      <c r="E5" s="106" t="s">
        <v>606</v>
      </c>
      <c r="F5" s="106" t="s">
        <v>607</v>
      </c>
      <c r="L5" s="249" t="s">
        <v>717</v>
      </c>
    </row>
    <row r="6" spans="1:12" x14ac:dyDescent="0.25">
      <c r="C6" s="106" t="s">
        <v>691</v>
      </c>
      <c r="D6" s="106" t="s">
        <v>79</v>
      </c>
      <c r="E6" s="106" t="s">
        <v>608</v>
      </c>
      <c r="F6" s="106" t="s">
        <v>609</v>
      </c>
      <c r="I6" s="106" t="s">
        <v>610</v>
      </c>
    </row>
    <row r="7" spans="1:12" x14ac:dyDescent="0.25">
      <c r="C7" s="106" t="s">
        <v>692</v>
      </c>
      <c r="D7" s="106" t="s">
        <v>82</v>
      </c>
      <c r="E7" s="106" t="s">
        <v>611</v>
      </c>
      <c r="F7" s="106" t="s">
        <v>612</v>
      </c>
    </row>
    <row r="8" spans="1:12" x14ac:dyDescent="0.25">
      <c r="C8" s="106" t="s">
        <v>351</v>
      </c>
      <c r="D8" s="106" t="s">
        <v>83</v>
      </c>
      <c r="E8" s="106" t="s">
        <v>613</v>
      </c>
      <c r="F8" s="106" t="s">
        <v>614</v>
      </c>
    </row>
    <row r="9" spans="1:12" x14ac:dyDescent="0.25">
      <c r="C9" s="106" t="s">
        <v>693</v>
      </c>
      <c r="D9" s="106" t="s">
        <v>95</v>
      </c>
      <c r="E9" s="106" t="s">
        <v>615</v>
      </c>
      <c r="F9" s="106" t="s">
        <v>616</v>
      </c>
    </row>
    <row r="10" spans="1:12" x14ac:dyDescent="0.25">
      <c r="C10" s="106" t="s">
        <v>602</v>
      </c>
      <c r="D10" s="106" t="s">
        <v>142</v>
      </c>
      <c r="E10" s="106" t="s">
        <v>617</v>
      </c>
      <c r="F10" s="106" t="s">
        <v>618</v>
      </c>
    </row>
    <row r="11" spans="1:12" x14ac:dyDescent="0.25">
      <c r="C11" s="106" t="s">
        <v>550</v>
      </c>
      <c r="D11" s="106" t="s">
        <v>118</v>
      </c>
      <c r="E11" s="106" t="s">
        <v>619</v>
      </c>
      <c r="F11" s="106" t="s">
        <v>620</v>
      </c>
      <c r="I11" s="106" t="s">
        <v>621</v>
      </c>
    </row>
    <row r="12" spans="1:12" x14ac:dyDescent="0.25">
      <c r="C12" s="106" t="s">
        <v>545</v>
      </c>
      <c r="D12" s="106" t="s">
        <v>119</v>
      </c>
      <c r="E12" s="106" t="s">
        <v>622</v>
      </c>
      <c r="F12" s="106" t="s">
        <v>623</v>
      </c>
    </row>
    <row r="13" spans="1:12" x14ac:dyDescent="0.25">
      <c r="C13" s="106" t="s">
        <v>570</v>
      </c>
      <c r="D13" s="106" t="s">
        <v>120</v>
      </c>
      <c r="E13" s="106" t="s">
        <v>624</v>
      </c>
      <c r="F13" s="106" t="s">
        <v>625</v>
      </c>
    </row>
    <row r="14" spans="1:12" x14ac:dyDescent="0.25">
      <c r="C14" s="106" t="s">
        <v>576</v>
      </c>
      <c r="D14" s="106" t="s">
        <v>121</v>
      </c>
      <c r="E14" s="106" t="s">
        <v>626</v>
      </c>
      <c r="F14" s="106" t="s">
        <v>627</v>
      </c>
    </row>
    <row r="16" spans="1:12" x14ac:dyDescent="0.25">
      <c r="C16" s="106" t="s">
        <v>147</v>
      </c>
      <c r="D16" s="106" t="s">
        <v>0</v>
      </c>
      <c r="G16" s="106" t="s">
        <v>628</v>
      </c>
      <c r="H16" s="106" t="s">
        <v>629</v>
      </c>
      <c r="J16" s="106" t="s">
        <v>630</v>
      </c>
    </row>
    <row r="17" spans="3:10" x14ac:dyDescent="0.25">
      <c r="C17" s="106" t="s">
        <v>631</v>
      </c>
      <c r="D17" s="106" t="s">
        <v>1</v>
      </c>
      <c r="G17" s="106" t="s">
        <v>632</v>
      </c>
      <c r="H17" s="106" t="s">
        <v>633</v>
      </c>
      <c r="J17" s="106" t="s">
        <v>634</v>
      </c>
    </row>
    <row r="18" spans="3:10" x14ac:dyDescent="0.25">
      <c r="C18" s="106" t="s">
        <v>635</v>
      </c>
      <c r="D18" s="106" t="s">
        <v>112</v>
      </c>
      <c r="G18" s="106" t="s">
        <v>636</v>
      </c>
      <c r="H18" s="106" t="s">
        <v>637</v>
      </c>
      <c r="J18" s="106" t="s">
        <v>638</v>
      </c>
    </row>
    <row r="19" spans="3:10" x14ac:dyDescent="0.25">
      <c r="C19" s="106" t="s">
        <v>505</v>
      </c>
      <c r="D19" s="106" t="s">
        <v>58</v>
      </c>
      <c r="G19" s="106" t="s">
        <v>639</v>
      </c>
      <c r="H19" s="106" t="s">
        <v>640</v>
      </c>
      <c r="J19" s="106" t="s">
        <v>641</v>
      </c>
    </row>
    <row r="20" spans="3:10" x14ac:dyDescent="0.25">
      <c r="C20" s="106" t="s">
        <v>511</v>
      </c>
      <c r="D20" s="106" t="s">
        <v>60</v>
      </c>
      <c r="G20" s="106" t="s">
        <v>642</v>
      </c>
      <c r="H20" s="106" t="s">
        <v>643</v>
      </c>
      <c r="J20" s="106" t="s">
        <v>644</v>
      </c>
    </row>
    <row r="21" spans="3:10" x14ac:dyDescent="0.25">
      <c r="C21" s="106" t="s">
        <v>515</v>
      </c>
      <c r="D21" s="106" t="s">
        <v>114</v>
      </c>
      <c r="G21" s="106" t="s">
        <v>645</v>
      </c>
      <c r="H21" s="106" t="s">
        <v>646</v>
      </c>
      <c r="J21" s="106" t="s">
        <v>647</v>
      </c>
    </row>
    <row r="22" spans="3:10" x14ac:dyDescent="0.25">
      <c r="C22" s="106" t="s">
        <v>524</v>
      </c>
      <c r="D22" s="106" t="s">
        <v>64</v>
      </c>
      <c r="G22" s="106" t="s">
        <v>648</v>
      </c>
      <c r="H22" s="106" t="s">
        <v>649</v>
      </c>
      <c r="J22" s="106" t="s">
        <v>650</v>
      </c>
    </row>
    <row r="23" spans="3:10" x14ac:dyDescent="0.25">
      <c r="C23" s="106" t="s">
        <v>149</v>
      </c>
      <c r="D23" s="106" t="s">
        <v>113</v>
      </c>
      <c r="G23" s="106" t="s">
        <v>651</v>
      </c>
      <c r="H23" s="106" t="s">
        <v>652</v>
      </c>
      <c r="J23" s="106" t="s">
        <v>653</v>
      </c>
    </row>
    <row r="24" spans="3:10" x14ac:dyDescent="0.25">
      <c r="C24" s="106" t="s">
        <v>489</v>
      </c>
      <c r="D24" s="106" t="s">
        <v>131</v>
      </c>
      <c r="G24" s="106" t="s">
        <v>654</v>
      </c>
      <c r="H24" s="106" t="s">
        <v>655</v>
      </c>
      <c r="J24" s="106" t="s">
        <v>656</v>
      </c>
    </row>
    <row r="26" spans="3:10" x14ac:dyDescent="0.25">
      <c r="C26" s="106" t="s">
        <v>137</v>
      </c>
      <c r="D26" s="106" t="s">
        <v>139</v>
      </c>
      <c r="E26" s="106" t="s">
        <v>70</v>
      </c>
      <c r="F26" s="106" t="s">
        <v>115</v>
      </c>
      <c r="G26" s="106" t="s">
        <v>117</v>
      </c>
      <c r="H26" s="106" t="s">
        <v>10</v>
      </c>
      <c r="I26" s="106" t="s">
        <v>71</v>
      </c>
      <c r="J26" s="106" t="s">
        <v>116</v>
      </c>
    </row>
    <row r="27" spans="3:10" x14ac:dyDescent="0.25">
      <c r="D27" s="106" t="s">
        <v>122</v>
      </c>
      <c r="E27" s="106" t="s">
        <v>657</v>
      </c>
      <c r="F27" s="106" t="s">
        <v>658</v>
      </c>
      <c r="I27" s="106" t="s">
        <v>659</v>
      </c>
    </row>
    <row r="28" spans="3:10" x14ac:dyDescent="0.25">
      <c r="D28" s="106" t="s">
        <v>82</v>
      </c>
      <c r="E28" s="106" t="s">
        <v>660</v>
      </c>
      <c r="F28" s="106" t="s">
        <v>661</v>
      </c>
      <c r="I28" s="106" t="s">
        <v>662</v>
      </c>
    </row>
    <row r="29" spans="3:10" x14ac:dyDescent="0.25">
      <c r="D29" s="106" t="s">
        <v>141</v>
      </c>
      <c r="E29" s="106" t="s">
        <v>663</v>
      </c>
      <c r="F29" s="106" t="s">
        <v>664</v>
      </c>
      <c r="I29" s="106" t="s">
        <v>665</v>
      </c>
    </row>
    <row r="30" spans="3:10" x14ac:dyDescent="0.25">
      <c r="D30" s="106" t="s">
        <v>123</v>
      </c>
      <c r="E30" s="106" t="s">
        <v>666</v>
      </c>
      <c r="F30" s="106" t="s">
        <v>667</v>
      </c>
    </row>
    <row r="31" spans="3:10" x14ac:dyDescent="0.25">
      <c r="D31" s="106" t="s">
        <v>140</v>
      </c>
      <c r="E31" s="106" t="s">
        <v>668</v>
      </c>
      <c r="F31" s="106" t="s">
        <v>669</v>
      </c>
      <c r="I31" s="106" t="s">
        <v>670</v>
      </c>
    </row>
    <row r="32" spans="3:10" x14ac:dyDescent="0.25">
      <c r="D32" s="106" t="s">
        <v>124</v>
      </c>
      <c r="E32" s="106" t="s">
        <v>671</v>
      </c>
      <c r="F32" s="106" t="s">
        <v>672</v>
      </c>
    </row>
    <row r="33" spans="4:10" x14ac:dyDescent="0.25">
      <c r="D33" s="106" t="s">
        <v>121</v>
      </c>
      <c r="E33" s="106" t="s">
        <v>673</v>
      </c>
      <c r="F33" s="106" t="s">
        <v>674</v>
      </c>
    </row>
    <row r="35" spans="4:10" x14ac:dyDescent="0.25">
      <c r="D35" s="106" t="s">
        <v>125</v>
      </c>
      <c r="G35" s="106" t="s">
        <v>675</v>
      </c>
      <c r="H35" s="106" t="s">
        <v>676</v>
      </c>
    </row>
    <row r="36" spans="4:10" x14ac:dyDescent="0.25">
      <c r="D36" s="106" t="s">
        <v>126</v>
      </c>
      <c r="G36" s="106" t="s">
        <v>677</v>
      </c>
      <c r="H36" s="106" t="s">
        <v>678</v>
      </c>
    </row>
    <row r="37" spans="4:10" x14ac:dyDescent="0.25">
      <c r="D37" s="106" t="s">
        <v>129</v>
      </c>
      <c r="G37" s="106" t="s">
        <v>679</v>
      </c>
      <c r="H37" s="106" t="s">
        <v>680</v>
      </c>
      <c r="J37" s="106" t="s">
        <v>681</v>
      </c>
    </row>
    <row r="38" spans="4:10" x14ac:dyDescent="0.25">
      <c r="D38" s="106" t="s">
        <v>127</v>
      </c>
      <c r="G38" s="106" t="s">
        <v>682</v>
      </c>
      <c r="H38" s="106" t="s">
        <v>683</v>
      </c>
      <c r="J38" s="106" t="s">
        <v>684</v>
      </c>
    </row>
    <row r="39" spans="4:10" x14ac:dyDescent="0.25">
      <c r="D39" s="106" t="s">
        <v>128</v>
      </c>
      <c r="G39" s="106" t="s">
        <v>685</v>
      </c>
      <c r="H39" s="106" t="s">
        <v>686</v>
      </c>
      <c r="J39" s="106" t="s">
        <v>687</v>
      </c>
    </row>
    <row r="40" spans="4:10" x14ac:dyDescent="0.25">
      <c r="D40" s="106" t="s">
        <v>3</v>
      </c>
      <c r="G40" s="106" t="s">
        <v>688</v>
      </c>
      <c r="H40" s="106" t="s">
        <v>689</v>
      </c>
      <c r="J40" s="106" t="s">
        <v>690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RowHeight="15" x14ac:dyDescent="0.25"/>
  <sheetData>
    <row r="1" spans="1:16" x14ac:dyDescent="0.25">
      <c r="A1" s="106" t="s">
        <v>338</v>
      </c>
      <c r="B1" s="106" t="s">
        <v>4</v>
      </c>
    </row>
    <row r="3" spans="1:16" x14ac:dyDescent="0.25">
      <c r="D3" s="106" t="s">
        <v>6</v>
      </c>
    </row>
    <row r="5" spans="1:16" x14ac:dyDescent="0.25">
      <c r="D5" s="106" t="s">
        <v>109</v>
      </c>
      <c r="E5" s="106" t="s">
        <v>144</v>
      </c>
    </row>
    <row r="6" spans="1:16" x14ac:dyDescent="0.25">
      <c r="D6" s="106" t="s">
        <v>110</v>
      </c>
      <c r="E6" s="106" t="s">
        <v>145</v>
      </c>
    </row>
    <row r="7" spans="1:16" x14ac:dyDescent="0.25">
      <c r="D7" s="106" t="s">
        <v>111</v>
      </c>
      <c r="E7" s="106" t="s">
        <v>146</v>
      </c>
    </row>
    <row r="8" spans="1:16" x14ac:dyDescent="0.25">
      <c r="N8" s="106" t="s">
        <v>7</v>
      </c>
    </row>
    <row r="9" spans="1:16" x14ac:dyDescent="0.25">
      <c r="J9" s="106" t="s">
        <v>8</v>
      </c>
    </row>
    <row r="10" spans="1:16" x14ac:dyDescent="0.25">
      <c r="F10" s="106" t="s">
        <v>9</v>
      </c>
      <c r="H10" s="106" t="s">
        <v>10</v>
      </c>
      <c r="J10" s="106" t="s">
        <v>11</v>
      </c>
      <c r="L10" s="106" t="s">
        <v>12</v>
      </c>
      <c r="M10" s="106" t="s">
        <v>13</v>
      </c>
      <c r="N10" s="106" t="s">
        <v>150</v>
      </c>
      <c r="P10" s="106" t="s">
        <v>151</v>
      </c>
    </row>
    <row r="12" spans="1:16" x14ac:dyDescent="0.25">
      <c r="D12" s="106" t="s">
        <v>14</v>
      </c>
      <c r="M12" s="106" t="s">
        <v>152</v>
      </c>
    </row>
    <row r="13" spans="1:16" x14ac:dyDescent="0.25">
      <c r="B13" s="106" t="s">
        <v>15</v>
      </c>
      <c r="E13" s="106" t="s">
        <v>16</v>
      </c>
      <c r="F13" s="106" t="s">
        <v>153</v>
      </c>
      <c r="H13" s="106" t="s">
        <v>154</v>
      </c>
      <c r="J13" s="106" t="s">
        <v>155</v>
      </c>
      <c r="L13" s="106" t="s">
        <v>156</v>
      </c>
      <c r="M13" s="106" t="s">
        <v>157</v>
      </c>
      <c r="N13" s="106" t="s">
        <v>158</v>
      </c>
      <c r="P13" s="106" t="s">
        <v>159</v>
      </c>
    </row>
    <row r="14" spans="1:16" x14ac:dyDescent="0.25">
      <c r="B14" s="106" t="s">
        <v>17</v>
      </c>
      <c r="E14" s="106" t="s">
        <v>18</v>
      </c>
      <c r="F14" s="106" t="s">
        <v>160</v>
      </c>
      <c r="H14" s="106" t="s">
        <v>161</v>
      </c>
      <c r="J14" s="106" t="s">
        <v>162</v>
      </c>
      <c r="L14" s="106" t="s">
        <v>163</v>
      </c>
      <c r="N14" s="106" t="s">
        <v>164</v>
      </c>
      <c r="P14" s="106" t="s">
        <v>165</v>
      </c>
    </row>
    <row r="15" spans="1:16" x14ac:dyDescent="0.25">
      <c r="B15" s="106" t="s">
        <v>19</v>
      </c>
      <c r="E15" s="106" t="s">
        <v>20</v>
      </c>
      <c r="F15" s="106" t="s">
        <v>166</v>
      </c>
      <c r="H15" s="106" t="s">
        <v>167</v>
      </c>
      <c r="J15" s="106" t="s">
        <v>168</v>
      </c>
      <c r="L15" s="106" t="s">
        <v>169</v>
      </c>
      <c r="N15" s="106" t="s">
        <v>170</v>
      </c>
      <c r="P15" s="106" t="s">
        <v>171</v>
      </c>
    </row>
    <row r="16" spans="1:16" x14ac:dyDescent="0.25">
      <c r="B16" s="106" t="s">
        <v>21</v>
      </c>
      <c r="E16" s="106" t="s">
        <v>22</v>
      </c>
      <c r="F16" s="106" t="s">
        <v>172</v>
      </c>
      <c r="H16" s="106" t="s">
        <v>173</v>
      </c>
      <c r="J16" s="106" t="s">
        <v>174</v>
      </c>
      <c r="L16" s="106" t="s">
        <v>175</v>
      </c>
      <c r="N16" s="106" t="s">
        <v>176</v>
      </c>
      <c r="P16" s="106" t="s">
        <v>177</v>
      </c>
    </row>
    <row r="17" spans="2:16" x14ac:dyDescent="0.25">
      <c r="B17" s="106" t="s">
        <v>23</v>
      </c>
      <c r="E17" s="106" t="s">
        <v>24</v>
      </c>
      <c r="F17" s="106" t="s">
        <v>178</v>
      </c>
      <c r="H17" s="106" t="s">
        <v>179</v>
      </c>
      <c r="J17" s="106" t="s">
        <v>180</v>
      </c>
      <c r="L17" s="106" t="s">
        <v>181</v>
      </c>
      <c r="N17" s="106" t="s">
        <v>182</v>
      </c>
      <c r="P17" s="106" t="s">
        <v>183</v>
      </c>
    </row>
    <row r="18" spans="2:16" x14ac:dyDescent="0.25">
      <c r="B18" s="106" t="s">
        <v>147</v>
      </c>
      <c r="E18" s="106" t="s">
        <v>25</v>
      </c>
      <c r="F18" s="106" t="s">
        <v>184</v>
      </c>
      <c r="H18" s="106" t="s">
        <v>185</v>
      </c>
      <c r="J18" s="106" t="s">
        <v>186</v>
      </c>
      <c r="L18" s="106" t="s">
        <v>187</v>
      </c>
      <c r="M18" s="106" t="s">
        <v>188</v>
      </c>
      <c r="N18" s="106" t="s">
        <v>189</v>
      </c>
      <c r="P18" s="106" t="s">
        <v>190</v>
      </c>
    </row>
    <row r="20" spans="2:16" x14ac:dyDescent="0.25">
      <c r="D20" s="106" t="s">
        <v>26</v>
      </c>
    </row>
    <row r="21" spans="2:16" x14ac:dyDescent="0.25">
      <c r="B21" s="106" t="s">
        <v>148</v>
      </c>
      <c r="E21" s="106" t="s">
        <v>27</v>
      </c>
      <c r="F21" s="106" t="s">
        <v>191</v>
      </c>
      <c r="H21" s="106" t="s">
        <v>192</v>
      </c>
      <c r="J21" s="106" t="s">
        <v>193</v>
      </c>
      <c r="L21" s="106" t="s">
        <v>194</v>
      </c>
      <c r="N21" s="106" t="s">
        <v>195</v>
      </c>
      <c r="P21" s="106" t="s">
        <v>196</v>
      </c>
    </row>
    <row r="22" spans="2:16" x14ac:dyDescent="0.25">
      <c r="B22" s="106" t="s">
        <v>28</v>
      </c>
      <c r="E22" s="106" t="s">
        <v>29</v>
      </c>
      <c r="F22" s="106" t="s">
        <v>197</v>
      </c>
      <c r="H22" s="106" t="s">
        <v>198</v>
      </c>
      <c r="J22" s="106" t="s">
        <v>199</v>
      </c>
      <c r="L22" s="106" t="s">
        <v>200</v>
      </c>
      <c r="N22" s="106" t="s">
        <v>201</v>
      </c>
      <c r="P22" s="106" t="s">
        <v>202</v>
      </c>
    </row>
    <row r="23" spans="2:16" x14ac:dyDescent="0.25">
      <c r="B23" s="106" t="s">
        <v>30</v>
      </c>
      <c r="E23" s="106" t="s">
        <v>31</v>
      </c>
      <c r="F23" s="106" t="s">
        <v>203</v>
      </c>
      <c r="H23" s="106" t="s">
        <v>204</v>
      </c>
      <c r="J23" s="106" t="s">
        <v>205</v>
      </c>
      <c r="L23" s="106" t="s">
        <v>206</v>
      </c>
      <c r="N23" s="106" t="s">
        <v>207</v>
      </c>
      <c r="P23" s="106" t="s">
        <v>208</v>
      </c>
    </row>
    <row r="24" spans="2:16" x14ac:dyDescent="0.25">
      <c r="B24" s="106" t="s">
        <v>32</v>
      </c>
      <c r="E24" s="106" t="s">
        <v>33</v>
      </c>
      <c r="F24" s="106" t="s">
        <v>209</v>
      </c>
      <c r="H24" s="106" t="s">
        <v>210</v>
      </c>
      <c r="J24" s="106" t="s">
        <v>211</v>
      </c>
      <c r="L24" s="106" t="s">
        <v>212</v>
      </c>
      <c r="N24" s="106" t="s">
        <v>213</v>
      </c>
      <c r="P24" s="106" t="s">
        <v>214</v>
      </c>
    </row>
    <row r="25" spans="2:16" x14ac:dyDescent="0.25">
      <c r="B25" s="106" t="s">
        <v>34</v>
      </c>
      <c r="E25" s="106" t="s">
        <v>35</v>
      </c>
      <c r="F25" s="106" t="s">
        <v>215</v>
      </c>
      <c r="H25" s="106" t="s">
        <v>216</v>
      </c>
      <c r="J25" s="106" t="s">
        <v>217</v>
      </c>
      <c r="L25" s="106" t="s">
        <v>218</v>
      </c>
      <c r="N25" s="106" t="s">
        <v>219</v>
      </c>
      <c r="P25" s="106" t="s">
        <v>220</v>
      </c>
    </row>
    <row r="26" spans="2:16" x14ac:dyDescent="0.25">
      <c r="E26" s="106" t="s">
        <v>36</v>
      </c>
      <c r="F26" s="106" t="s">
        <v>221</v>
      </c>
      <c r="H26" s="106" t="s">
        <v>222</v>
      </c>
      <c r="J26" s="106" t="s">
        <v>223</v>
      </c>
      <c r="L26" s="106" t="s">
        <v>224</v>
      </c>
      <c r="M26" s="106" t="s">
        <v>225</v>
      </c>
      <c r="N26" s="106" t="s">
        <v>226</v>
      </c>
      <c r="P26" s="106" t="s">
        <v>227</v>
      </c>
    </row>
    <row r="27" spans="2:16" x14ac:dyDescent="0.25">
      <c r="L27" s="106" t="s">
        <v>228</v>
      </c>
    </row>
    <row r="28" spans="2:16" x14ac:dyDescent="0.25">
      <c r="D28" s="106" t="s">
        <v>37</v>
      </c>
      <c r="F28" s="106" t="s">
        <v>229</v>
      </c>
      <c r="H28" s="106" t="s">
        <v>230</v>
      </c>
      <c r="J28" s="106" t="s">
        <v>231</v>
      </c>
      <c r="L28" s="106" t="s">
        <v>232</v>
      </c>
      <c r="M28" s="106" t="s">
        <v>233</v>
      </c>
    </row>
    <row r="31" spans="2:16" x14ac:dyDescent="0.25">
      <c r="D31" s="106" t="s">
        <v>38</v>
      </c>
    </row>
    <row r="32" spans="2:16" x14ac:dyDescent="0.25">
      <c r="B32" s="106" t="s">
        <v>39</v>
      </c>
      <c r="E32" s="106" t="s">
        <v>40</v>
      </c>
      <c r="F32" s="106" t="s">
        <v>234</v>
      </c>
      <c r="H32" s="106" t="s">
        <v>235</v>
      </c>
      <c r="J32" s="106" t="s">
        <v>236</v>
      </c>
      <c r="L32" s="106" t="s">
        <v>237</v>
      </c>
      <c r="N32" s="106" t="s">
        <v>238</v>
      </c>
      <c r="P32" s="106" t="s">
        <v>239</v>
      </c>
    </row>
    <row r="33" spans="2:16" x14ac:dyDescent="0.25">
      <c r="B33" s="106" t="s">
        <v>41</v>
      </c>
      <c r="E33" s="106" t="s">
        <v>42</v>
      </c>
      <c r="F33" s="106" t="s">
        <v>240</v>
      </c>
      <c r="H33" s="106" t="s">
        <v>241</v>
      </c>
      <c r="J33" s="106" t="s">
        <v>242</v>
      </c>
      <c r="L33" s="106" t="s">
        <v>243</v>
      </c>
      <c r="N33" s="106" t="s">
        <v>244</v>
      </c>
      <c r="P33" s="106" t="s">
        <v>245</v>
      </c>
    </row>
    <row r="34" spans="2:16" x14ac:dyDescent="0.25">
      <c r="B34" s="106" t="s">
        <v>43</v>
      </c>
      <c r="E34" s="106" t="s">
        <v>44</v>
      </c>
      <c r="F34" s="106" t="s">
        <v>246</v>
      </c>
      <c r="H34" s="106" t="s">
        <v>247</v>
      </c>
      <c r="J34" s="106" t="s">
        <v>248</v>
      </c>
      <c r="L34" s="106" t="s">
        <v>249</v>
      </c>
      <c r="N34" s="106" t="s">
        <v>250</v>
      </c>
      <c r="P34" s="106" t="s">
        <v>251</v>
      </c>
    </row>
    <row r="35" spans="2:16" x14ac:dyDescent="0.25">
      <c r="B35" s="106" t="s">
        <v>45</v>
      </c>
      <c r="E35" s="106" t="s">
        <v>46</v>
      </c>
      <c r="F35" s="106" t="s">
        <v>252</v>
      </c>
      <c r="H35" s="106" t="s">
        <v>253</v>
      </c>
      <c r="J35" s="106" t="s">
        <v>254</v>
      </c>
      <c r="L35" s="106" t="s">
        <v>255</v>
      </c>
      <c r="N35" s="106" t="s">
        <v>256</v>
      </c>
      <c r="P35" s="106" t="s">
        <v>257</v>
      </c>
    </row>
    <row r="36" spans="2:16" x14ac:dyDescent="0.25">
      <c r="B36" s="106" t="s">
        <v>47</v>
      </c>
      <c r="E36" s="106" t="s">
        <v>48</v>
      </c>
      <c r="F36" s="106" t="s">
        <v>258</v>
      </c>
      <c r="H36" s="106" t="s">
        <v>259</v>
      </c>
      <c r="J36" s="106" t="s">
        <v>260</v>
      </c>
      <c r="L36" s="106" t="s">
        <v>261</v>
      </c>
      <c r="N36" s="106" t="s">
        <v>262</v>
      </c>
      <c r="P36" s="106" t="s">
        <v>263</v>
      </c>
    </row>
    <row r="37" spans="2:16" x14ac:dyDescent="0.25">
      <c r="B37" s="106" t="s">
        <v>49</v>
      </c>
      <c r="E37" s="106" t="s">
        <v>50</v>
      </c>
      <c r="F37" s="106" t="s">
        <v>264</v>
      </c>
      <c r="H37" s="106" t="s">
        <v>265</v>
      </c>
      <c r="J37" s="106" t="s">
        <v>266</v>
      </c>
      <c r="L37" s="106" t="s">
        <v>267</v>
      </c>
      <c r="N37" s="106" t="s">
        <v>268</v>
      </c>
      <c r="P37" s="106" t="s">
        <v>269</v>
      </c>
    </row>
    <row r="38" spans="2:16" x14ac:dyDescent="0.25">
      <c r="B38" s="106" t="s">
        <v>51</v>
      </c>
      <c r="E38" s="106" t="s">
        <v>52</v>
      </c>
      <c r="F38" s="106" t="s">
        <v>270</v>
      </c>
      <c r="H38" s="106" t="s">
        <v>271</v>
      </c>
      <c r="J38" s="106" t="s">
        <v>272</v>
      </c>
      <c r="L38" s="106" t="s">
        <v>273</v>
      </c>
      <c r="M38" s="106" t="s">
        <v>274</v>
      </c>
      <c r="N38" s="106" t="s">
        <v>275</v>
      </c>
      <c r="P38" s="106" t="s">
        <v>276</v>
      </c>
    </row>
    <row r="39" spans="2:16" x14ac:dyDescent="0.25">
      <c r="B39" s="106" t="s">
        <v>53</v>
      </c>
      <c r="E39" s="106" t="s">
        <v>54</v>
      </c>
      <c r="F39" s="106" t="s">
        <v>277</v>
      </c>
      <c r="H39" s="106" t="s">
        <v>278</v>
      </c>
      <c r="J39" s="106" t="s">
        <v>279</v>
      </c>
      <c r="L39" s="106" t="s">
        <v>280</v>
      </c>
      <c r="N39" s="106" t="s">
        <v>281</v>
      </c>
      <c r="P39" s="106" t="s">
        <v>282</v>
      </c>
    </row>
    <row r="40" spans="2:16" x14ac:dyDescent="0.25">
      <c r="E40" s="106" t="s">
        <v>55</v>
      </c>
      <c r="F40" s="106" t="s">
        <v>283</v>
      </c>
      <c r="H40" s="106" t="s">
        <v>284</v>
      </c>
      <c r="J40" s="106" t="s">
        <v>285</v>
      </c>
      <c r="L40" s="106" t="s">
        <v>286</v>
      </c>
      <c r="N40" s="106" t="s">
        <v>287</v>
      </c>
      <c r="P40" s="106" t="s">
        <v>288</v>
      </c>
    </row>
    <row r="42" spans="2:16" x14ac:dyDescent="0.25">
      <c r="D42" s="106" t="s">
        <v>56</v>
      </c>
      <c r="F42" s="106" t="s">
        <v>289</v>
      </c>
      <c r="H42" s="106" t="s">
        <v>290</v>
      </c>
      <c r="J42" s="106" t="s">
        <v>291</v>
      </c>
      <c r="L42" s="106" t="s">
        <v>292</v>
      </c>
      <c r="M42" s="106" t="s">
        <v>293</v>
      </c>
    </row>
    <row r="44" spans="2:16" x14ac:dyDescent="0.25">
      <c r="B44" s="106" t="s">
        <v>57</v>
      </c>
      <c r="E44" s="106" t="s">
        <v>58</v>
      </c>
      <c r="F44" s="106" t="s">
        <v>294</v>
      </c>
      <c r="H44" s="106" t="s">
        <v>295</v>
      </c>
      <c r="J44" s="106" t="s">
        <v>296</v>
      </c>
      <c r="L44" s="106" t="s">
        <v>297</v>
      </c>
      <c r="N44" s="106" t="s">
        <v>298</v>
      </c>
      <c r="P44" s="106" t="s">
        <v>299</v>
      </c>
    </row>
    <row r="45" spans="2:16" x14ac:dyDescent="0.25">
      <c r="B45" s="106" t="s">
        <v>59</v>
      </c>
      <c r="E45" s="106" t="s">
        <v>60</v>
      </c>
      <c r="F45" s="106" t="s">
        <v>300</v>
      </c>
      <c r="H45" s="106" t="s">
        <v>301</v>
      </c>
      <c r="J45" s="106" t="s">
        <v>302</v>
      </c>
      <c r="L45" s="106" t="s">
        <v>303</v>
      </c>
      <c r="N45" s="106" t="s">
        <v>304</v>
      </c>
      <c r="P45" s="106" t="s">
        <v>305</v>
      </c>
    </row>
    <row r="46" spans="2:16" x14ac:dyDescent="0.25">
      <c r="E46" s="106" t="s">
        <v>61</v>
      </c>
      <c r="F46" s="106" t="s">
        <v>306</v>
      </c>
      <c r="H46" s="106" t="s">
        <v>307</v>
      </c>
      <c r="J46" s="106" t="s">
        <v>308</v>
      </c>
      <c r="L46" s="106" t="s">
        <v>309</v>
      </c>
      <c r="N46" s="106" t="s">
        <v>310</v>
      </c>
      <c r="P46" s="106" t="s">
        <v>311</v>
      </c>
    </row>
    <row r="48" spans="2:16" x14ac:dyDescent="0.25">
      <c r="D48" s="106" t="s">
        <v>62</v>
      </c>
      <c r="F48" s="106" t="s">
        <v>312</v>
      </c>
      <c r="H48" s="106" t="s">
        <v>313</v>
      </c>
      <c r="J48" s="106" t="s">
        <v>314</v>
      </c>
      <c r="L48" s="106" t="s">
        <v>315</v>
      </c>
      <c r="M48" s="106" t="s">
        <v>316</v>
      </c>
    </row>
    <row r="50" spans="2:16" x14ac:dyDescent="0.25">
      <c r="B50" s="106" t="s">
        <v>63</v>
      </c>
      <c r="E50" s="106" t="s">
        <v>64</v>
      </c>
      <c r="F50" s="106" t="s">
        <v>317</v>
      </c>
      <c r="H50" s="106" t="s">
        <v>318</v>
      </c>
      <c r="J50" s="106" t="s">
        <v>319</v>
      </c>
      <c r="L50" s="106" t="s">
        <v>320</v>
      </c>
      <c r="N50" s="106" t="s">
        <v>321</v>
      </c>
      <c r="P50" s="106" t="s">
        <v>322</v>
      </c>
    </row>
    <row r="51" spans="2:16" x14ac:dyDescent="0.25">
      <c r="L51" s="106" t="s">
        <v>323</v>
      </c>
    </row>
    <row r="52" spans="2:16" x14ac:dyDescent="0.25">
      <c r="D52" s="106" t="s">
        <v>65</v>
      </c>
      <c r="F52" s="106" t="s">
        <v>324</v>
      </c>
      <c r="H52" s="106" t="s">
        <v>325</v>
      </c>
      <c r="J52" s="106" t="s">
        <v>326</v>
      </c>
      <c r="L52" s="106" t="s">
        <v>327</v>
      </c>
      <c r="M52" s="106" t="s">
        <v>328</v>
      </c>
    </row>
    <row r="54" spans="2:16" x14ac:dyDescent="0.25">
      <c r="B54" s="106" t="s">
        <v>149</v>
      </c>
      <c r="E54" s="106" t="s">
        <v>66</v>
      </c>
      <c r="F54" s="106" t="s">
        <v>329</v>
      </c>
      <c r="H54" s="106" t="s">
        <v>330</v>
      </c>
      <c r="J54" s="106" t="s">
        <v>331</v>
      </c>
      <c r="L54" s="106" t="s">
        <v>332</v>
      </c>
    </row>
    <row r="56" spans="2:16" x14ac:dyDescent="0.25">
      <c r="D56" s="106" t="s">
        <v>67</v>
      </c>
      <c r="F56" s="106" t="s">
        <v>333</v>
      </c>
      <c r="H56" s="106" t="s">
        <v>334</v>
      </c>
      <c r="J56" s="106" t="s">
        <v>335</v>
      </c>
      <c r="L56" s="106" t="s">
        <v>336</v>
      </c>
      <c r="M56" s="106" t="s">
        <v>337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RowHeight="15" x14ac:dyDescent="0.25"/>
  <sheetData>
    <row r="1" spans="1:16" x14ac:dyDescent="0.25">
      <c r="A1" s="106" t="s">
        <v>338</v>
      </c>
      <c r="B1" s="106" t="s">
        <v>4</v>
      </c>
    </row>
    <row r="3" spans="1:16" x14ac:dyDescent="0.25">
      <c r="D3" s="106" t="s">
        <v>6</v>
      </c>
    </row>
    <row r="5" spans="1:16" x14ac:dyDescent="0.25">
      <c r="D5" s="106" t="s">
        <v>109</v>
      </c>
      <c r="E5" s="106" t="s">
        <v>144</v>
      </c>
    </row>
    <row r="6" spans="1:16" x14ac:dyDescent="0.25">
      <c r="D6" s="106" t="s">
        <v>110</v>
      </c>
      <c r="E6" s="106" t="s">
        <v>145</v>
      </c>
    </row>
    <row r="7" spans="1:16" x14ac:dyDescent="0.25">
      <c r="D7" s="106" t="s">
        <v>111</v>
      </c>
      <c r="E7" s="106" t="s">
        <v>146</v>
      </c>
    </row>
    <row r="8" spans="1:16" x14ac:dyDescent="0.25">
      <c r="N8" s="106" t="s">
        <v>7</v>
      </c>
    </row>
    <row r="9" spans="1:16" x14ac:dyDescent="0.25">
      <c r="J9" s="106" t="s">
        <v>8</v>
      </c>
    </row>
    <row r="10" spans="1:16" x14ac:dyDescent="0.25">
      <c r="F10" s="106" t="s">
        <v>9</v>
      </c>
      <c r="H10" s="106" t="s">
        <v>10</v>
      </c>
      <c r="J10" s="106" t="s">
        <v>11</v>
      </c>
      <c r="L10" s="106" t="s">
        <v>12</v>
      </c>
      <c r="M10" s="106" t="s">
        <v>13</v>
      </c>
      <c r="N10" s="106" t="s">
        <v>150</v>
      </c>
      <c r="P10" s="106" t="s">
        <v>151</v>
      </c>
    </row>
    <row r="12" spans="1:16" x14ac:dyDescent="0.25">
      <c r="D12" s="106" t="s">
        <v>14</v>
      </c>
      <c r="M12" s="106" t="s">
        <v>152</v>
      </c>
    </row>
    <row r="13" spans="1:16" x14ac:dyDescent="0.25">
      <c r="B13" s="106" t="s">
        <v>15</v>
      </c>
      <c r="E13" s="106" t="s">
        <v>16</v>
      </c>
      <c r="F13" s="106" t="s">
        <v>153</v>
      </c>
      <c r="H13" s="106" t="s">
        <v>154</v>
      </c>
      <c r="J13" s="106" t="s">
        <v>155</v>
      </c>
      <c r="L13" s="106" t="s">
        <v>156</v>
      </c>
      <c r="M13" s="106" t="s">
        <v>157</v>
      </c>
      <c r="N13" s="106" t="s">
        <v>158</v>
      </c>
      <c r="P13" s="106" t="s">
        <v>159</v>
      </c>
    </row>
    <row r="14" spans="1:16" x14ac:dyDescent="0.25">
      <c r="B14" s="106" t="s">
        <v>17</v>
      </c>
      <c r="E14" s="106" t="s">
        <v>18</v>
      </c>
      <c r="F14" s="106" t="s">
        <v>160</v>
      </c>
      <c r="H14" s="106" t="s">
        <v>161</v>
      </c>
      <c r="J14" s="106" t="s">
        <v>162</v>
      </c>
      <c r="L14" s="106" t="s">
        <v>163</v>
      </c>
      <c r="N14" s="106" t="s">
        <v>164</v>
      </c>
      <c r="P14" s="106" t="s">
        <v>165</v>
      </c>
    </row>
    <row r="15" spans="1:16" x14ac:dyDescent="0.25">
      <c r="B15" s="106" t="s">
        <v>19</v>
      </c>
      <c r="E15" s="106" t="s">
        <v>20</v>
      </c>
      <c r="F15" s="106" t="s">
        <v>166</v>
      </c>
      <c r="H15" s="106" t="s">
        <v>167</v>
      </c>
      <c r="J15" s="106" t="s">
        <v>168</v>
      </c>
      <c r="L15" s="106" t="s">
        <v>169</v>
      </c>
      <c r="N15" s="106" t="s">
        <v>170</v>
      </c>
      <c r="P15" s="106" t="s">
        <v>171</v>
      </c>
    </row>
    <row r="16" spans="1:16" x14ac:dyDescent="0.25">
      <c r="B16" s="106" t="s">
        <v>21</v>
      </c>
      <c r="E16" s="106" t="s">
        <v>22</v>
      </c>
      <c r="F16" s="106" t="s">
        <v>172</v>
      </c>
      <c r="H16" s="106" t="s">
        <v>173</v>
      </c>
      <c r="J16" s="106" t="s">
        <v>174</v>
      </c>
      <c r="L16" s="106" t="s">
        <v>175</v>
      </c>
      <c r="N16" s="106" t="s">
        <v>176</v>
      </c>
      <c r="P16" s="106" t="s">
        <v>177</v>
      </c>
    </row>
    <row r="17" spans="2:16" x14ac:dyDescent="0.25">
      <c r="B17" s="106" t="s">
        <v>23</v>
      </c>
      <c r="E17" s="106" t="s">
        <v>24</v>
      </c>
      <c r="F17" s="106" t="s">
        <v>178</v>
      </c>
      <c r="H17" s="106" t="s">
        <v>179</v>
      </c>
      <c r="J17" s="106" t="s">
        <v>180</v>
      </c>
      <c r="L17" s="106" t="s">
        <v>181</v>
      </c>
      <c r="N17" s="106" t="s">
        <v>182</v>
      </c>
      <c r="P17" s="106" t="s">
        <v>183</v>
      </c>
    </row>
    <row r="18" spans="2:16" x14ac:dyDescent="0.25">
      <c r="B18" s="106" t="s">
        <v>147</v>
      </c>
      <c r="E18" s="106" t="s">
        <v>25</v>
      </c>
      <c r="F18" s="106" t="s">
        <v>184</v>
      </c>
      <c r="H18" s="106" t="s">
        <v>185</v>
      </c>
      <c r="J18" s="106" t="s">
        <v>186</v>
      </c>
      <c r="L18" s="106" t="s">
        <v>187</v>
      </c>
      <c r="M18" s="106" t="s">
        <v>188</v>
      </c>
      <c r="N18" s="106" t="s">
        <v>189</v>
      </c>
      <c r="P18" s="106" t="s">
        <v>190</v>
      </c>
    </row>
    <row r="20" spans="2:16" x14ac:dyDescent="0.25">
      <c r="D20" s="106" t="s">
        <v>26</v>
      </c>
    </row>
    <row r="21" spans="2:16" x14ac:dyDescent="0.25">
      <c r="B21" s="106" t="s">
        <v>148</v>
      </c>
      <c r="E21" s="106" t="s">
        <v>27</v>
      </c>
      <c r="F21" s="106" t="s">
        <v>191</v>
      </c>
      <c r="H21" s="106" t="s">
        <v>192</v>
      </c>
      <c r="J21" s="106" t="s">
        <v>193</v>
      </c>
      <c r="L21" s="106" t="s">
        <v>194</v>
      </c>
      <c r="N21" s="106" t="s">
        <v>195</v>
      </c>
      <c r="P21" s="106" t="s">
        <v>196</v>
      </c>
    </row>
    <row r="22" spans="2:16" x14ac:dyDescent="0.25">
      <c r="B22" s="106" t="s">
        <v>28</v>
      </c>
      <c r="E22" s="106" t="s">
        <v>29</v>
      </c>
      <c r="F22" s="106" t="s">
        <v>197</v>
      </c>
      <c r="H22" s="106" t="s">
        <v>198</v>
      </c>
      <c r="J22" s="106" t="s">
        <v>199</v>
      </c>
      <c r="L22" s="106" t="s">
        <v>200</v>
      </c>
      <c r="N22" s="106" t="s">
        <v>201</v>
      </c>
      <c r="P22" s="106" t="s">
        <v>202</v>
      </c>
    </row>
    <row r="23" spans="2:16" x14ac:dyDescent="0.25">
      <c r="B23" s="106" t="s">
        <v>30</v>
      </c>
      <c r="E23" s="106" t="s">
        <v>31</v>
      </c>
      <c r="F23" s="106" t="s">
        <v>203</v>
      </c>
      <c r="H23" s="106" t="s">
        <v>204</v>
      </c>
      <c r="J23" s="106" t="s">
        <v>205</v>
      </c>
      <c r="L23" s="106" t="s">
        <v>206</v>
      </c>
      <c r="N23" s="106" t="s">
        <v>207</v>
      </c>
      <c r="P23" s="106" t="s">
        <v>208</v>
      </c>
    </row>
    <row r="24" spans="2:16" x14ac:dyDescent="0.25">
      <c r="B24" s="106" t="s">
        <v>32</v>
      </c>
      <c r="E24" s="106" t="s">
        <v>33</v>
      </c>
      <c r="F24" s="106" t="s">
        <v>209</v>
      </c>
      <c r="H24" s="106" t="s">
        <v>210</v>
      </c>
      <c r="J24" s="106" t="s">
        <v>211</v>
      </c>
      <c r="L24" s="106" t="s">
        <v>212</v>
      </c>
      <c r="N24" s="106" t="s">
        <v>213</v>
      </c>
      <c r="P24" s="106" t="s">
        <v>214</v>
      </c>
    </row>
    <row r="25" spans="2:16" x14ac:dyDescent="0.25">
      <c r="B25" s="106" t="s">
        <v>34</v>
      </c>
      <c r="E25" s="106" t="s">
        <v>35</v>
      </c>
      <c r="F25" s="106" t="s">
        <v>215</v>
      </c>
      <c r="H25" s="106" t="s">
        <v>216</v>
      </c>
      <c r="J25" s="106" t="s">
        <v>217</v>
      </c>
      <c r="L25" s="106" t="s">
        <v>218</v>
      </c>
      <c r="N25" s="106" t="s">
        <v>219</v>
      </c>
      <c r="P25" s="106" t="s">
        <v>220</v>
      </c>
    </row>
    <row r="26" spans="2:16" x14ac:dyDescent="0.25">
      <c r="E26" s="106" t="s">
        <v>36</v>
      </c>
      <c r="F26" s="106" t="s">
        <v>221</v>
      </c>
      <c r="H26" s="106" t="s">
        <v>222</v>
      </c>
      <c r="J26" s="106" t="s">
        <v>223</v>
      </c>
      <c r="L26" s="106" t="s">
        <v>224</v>
      </c>
      <c r="M26" s="106" t="s">
        <v>225</v>
      </c>
      <c r="N26" s="106" t="s">
        <v>226</v>
      </c>
      <c r="P26" s="106" t="s">
        <v>227</v>
      </c>
    </row>
    <row r="27" spans="2:16" x14ac:dyDescent="0.25">
      <c r="L27" s="106" t="s">
        <v>228</v>
      </c>
    </row>
    <row r="28" spans="2:16" x14ac:dyDescent="0.25">
      <c r="D28" s="106" t="s">
        <v>37</v>
      </c>
      <c r="F28" s="106" t="s">
        <v>229</v>
      </c>
      <c r="H28" s="106" t="s">
        <v>230</v>
      </c>
      <c r="J28" s="106" t="s">
        <v>231</v>
      </c>
      <c r="L28" s="106" t="s">
        <v>232</v>
      </c>
      <c r="M28" s="106" t="s">
        <v>233</v>
      </c>
    </row>
    <row r="31" spans="2:16" x14ac:dyDescent="0.25">
      <c r="D31" s="106" t="s">
        <v>38</v>
      </c>
    </row>
    <row r="32" spans="2:16" x14ac:dyDescent="0.25">
      <c r="B32" s="106" t="s">
        <v>39</v>
      </c>
      <c r="E32" s="106" t="s">
        <v>40</v>
      </c>
      <c r="F32" s="106" t="s">
        <v>234</v>
      </c>
      <c r="H32" s="106" t="s">
        <v>235</v>
      </c>
      <c r="J32" s="106" t="s">
        <v>236</v>
      </c>
      <c r="L32" s="106" t="s">
        <v>237</v>
      </c>
      <c r="N32" s="106" t="s">
        <v>238</v>
      </c>
      <c r="P32" s="106" t="s">
        <v>239</v>
      </c>
    </row>
    <row r="33" spans="2:16" x14ac:dyDescent="0.25">
      <c r="B33" s="106" t="s">
        <v>41</v>
      </c>
      <c r="E33" s="106" t="s">
        <v>42</v>
      </c>
      <c r="F33" s="106" t="s">
        <v>240</v>
      </c>
      <c r="H33" s="106" t="s">
        <v>241</v>
      </c>
      <c r="J33" s="106" t="s">
        <v>242</v>
      </c>
      <c r="L33" s="106" t="s">
        <v>243</v>
      </c>
      <c r="N33" s="106" t="s">
        <v>244</v>
      </c>
      <c r="P33" s="106" t="s">
        <v>245</v>
      </c>
    </row>
    <row r="34" spans="2:16" x14ac:dyDescent="0.25">
      <c r="B34" s="106" t="s">
        <v>43</v>
      </c>
      <c r="E34" s="106" t="s">
        <v>44</v>
      </c>
      <c r="F34" s="106" t="s">
        <v>246</v>
      </c>
      <c r="H34" s="106" t="s">
        <v>247</v>
      </c>
      <c r="J34" s="106" t="s">
        <v>248</v>
      </c>
      <c r="L34" s="106" t="s">
        <v>249</v>
      </c>
      <c r="N34" s="106" t="s">
        <v>250</v>
      </c>
      <c r="P34" s="106" t="s">
        <v>251</v>
      </c>
    </row>
    <row r="35" spans="2:16" x14ac:dyDescent="0.25">
      <c r="B35" s="106" t="s">
        <v>45</v>
      </c>
      <c r="E35" s="106" t="s">
        <v>46</v>
      </c>
      <c r="F35" s="106" t="s">
        <v>252</v>
      </c>
      <c r="H35" s="106" t="s">
        <v>253</v>
      </c>
      <c r="J35" s="106" t="s">
        <v>254</v>
      </c>
      <c r="L35" s="106" t="s">
        <v>255</v>
      </c>
      <c r="N35" s="106" t="s">
        <v>256</v>
      </c>
      <c r="P35" s="106" t="s">
        <v>257</v>
      </c>
    </row>
    <row r="36" spans="2:16" x14ac:dyDescent="0.25">
      <c r="B36" s="106" t="s">
        <v>47</v>
      </c>
      <c r="E36" s="106" t="s">
        <v>48</v>
      </c>
      <c r="F36" s="106" t="s">
        <v>258</v>
      </c>
      <c r="H36" s="106" t="s">
        <v>259</v>
      </c>
      <c r="J36" s="106" t="s">
        <v>260</v>
      </c>
      <c r="L36" s="106" t="s">
        <v>261</v>
      </c>
      <c r="N36" s="106" t="s">
        <v>262</v>
      </c>
      <c r="P36" s="106" t="s">
        <v>263</v>
      </c>
    </row>
    <row r="37" spans="2:16" x14ac:dyDescent="0.25">
      <c r="B37" s="106" t="s">
        <v>49</v>
      </c>
      <c r="E37" s="106" t="s">
        <v>50</v>
      </c>
      <c r="F37" s="106" t="s">
        <v>264</v>
      </c>
      <c r="H37" s="106" t="s">
        <v>265</v>
      </c>
      <c r="J37" s="106" t="s">
        <v>266</v>
      </c>
      <c r="L37" s="106" t="s">
        <v>267</v>
      </c>
      <c r="N37" s="106" t="s">
        <v>268</v>
      </c>
      <c r="P37" s="106" t="s">
        <v>269</v>
      </c>
    </row>
    <row r="38" spans="2:16" x14ac:dyDescent="0.25">
      <c r="B38" s="106" t="s">
        <v>51</v>
      </c>
      <c r="E38" s="106" t="s">
        <v>52</v>
      </c>
      <c r="F38" s="106" t="s">
        <v>270</v>
      </c>
      <c r="H38" s="106" t="s">
        <v>271</v>
      </c>
      <c r="J38" s="106" t="s">
        <v>272</v>
      </c>
      <c r="L38" s="106" t="s">
        <v>273</v>
      </c>
      <c r="M38" s="106" t="s">
        <v>274</v>
      </c>
      <c r="N38" s="106" t="s">
        <v>275</v>
      </c>
      <c r="P38" s="106" t="s">
        <v>276</v>
      </c>
    </row>
    <row r="39" spans="2:16" x14ac:dyDescent="0.25">
      <c r="B39" s="106" t="s">
        <v>53</v>
      </c>
      <c r="E39" s="106" t="s">
        <v>54</v>
      </c>
      <c r="F39" s="106" t="s">
        <v>277</v>
      </c>
      <c r="H39" s="106" t="s">
        <v>278</v>
      </c>
      <c r="J39" s="106" t="s">
        <v>279</v>
      </c>
      <c r="L39" s="106" t="s">
        <v>280</v>
      </c>
      <c r="N39" s="106" t="s">
        <v>281</v>
      </c>
      <c r="P39" s="106" t="s">
        <v>282</v>
      </c>
    </row>
    <row r="40" spans="2:16" x14ac:dyDescent="0.25">
      <c r="E40" s="106" t="s">
        <v>55</v>
      </c>
      <c r="F40" s="106" t="s">
        <v>283</v>
      </c>
      <c r="H40" s="106" t="s">
        <v>284</v>
      </c>
      <c r="J40" s="106" t="s">
        <v>285</v>
      </c>
      <c r="L40" s="106" t="s">
        <v>286</v>
      </c>
      <c r="N40" s="106" t="s">
        <v>287</v>
      </c>
      <c r="P40" s="106" t="s">
        <v>288</v>
      </c>
    </row>
    <row r="42" spans="2:16" x14ac:dyDescent="0.25">
      <c r="D42" s="106" t="s">
        <v>56</v>
      </c>
      <c r="F42" s="106" t="s">
        <v>289</v>
      </c>
      <c r="H42" s="106" t="s">
        <v>290</v>
      </c>
      <c r="J42" s="106" t="s">
        <v>291</v>
      </c>
      <c r="L42" s="106" t="s">
        <v>292</v>
      </c>
      <c r="M42" s="106" t="s">
        <v>293</v>
      </c>
    </row>
    <row r="44" spans="2:16" x14ac:dyDescent="0.25">
      <c r="B44" s="106" t="s">
        <v>57</v>
      </c>
      <c r="E44" s="106" t="s">
        <v>58</v>
      </c>
      <c r="F44" s="106" t="s">
        <v>294</v>
      </c>
      <c r="H44" s="106" t="s">
        <v>295</v>
      </c>
      <c r="J44" s="106" t="s">
        <v>296</v>
      </c>
      <c r="L44" s="106" t="s">
        <v>297</v>
      </c>
      <c r="N44" s="106" t="s">
        <v>298</v>
      </c>
      <c r="P44" s="106" t="s">
        <v>299</v>
      </c>
    </row>
    <row r="45" spans="2:16" x14ac:dyDescent="0.25">
      <c r="B45" s="106" t="s">
        <v>59</v>
      </c>
      <c r="E45" s="106" t="s">
        <v>60</v>
      </c>
      <c r="F45" s="106" t="s">
        <v>300</v>
      </c>
      <c r="H45" s="106" t="s">
        <v>301</v>
      </c>
      <c r="J45" s="106" t="s">
        <v>302</v>
      </c>
      <c r="L45" s="106" t="s">
        <v>303</v>
      </c>
      <c r="N45" s="106" t="s">
        <v>304</v>
      </c>
      <c r="P45" s="106" t="s">
        <v>305</v>
      </c>
    </row>
    <row r="46" spans="2:16" x14ac:dyDescent="0.25">
      <c r="E46" s="106" t="s">
        <v>61</v>
      </c>
      <c r="F46" s="106" t="s">
        <v>306</v>
      </c>
      <c r="H46" s="106" t="s">
        <v>307</v>
      </c>
      <c r="J46" s="106" t="s">
        <v>308</v>
      </c>
      <c r="L46" s="106" t="s">
        <v>309</v>
      </c>
      <c r="N46" s="106" t="s">
        <v>310</v>
      </c>
      <c r="P46" s="106" t="s">
        <v>311</v>
      </c>
    </row>
    <row r="48" spans="2:16" x14ac:dyDescent="0.25">
      <c r="D48" s="106" t="s">
        <v>62</v>
      </c>
      <c r="F48" s="106" t="s">
        <v>312</v>
      </c>
      <c r="H48" s="106" t="s">
        <v>313</v>
      </c>
      <c r="J48" s="106" t="s">
        <v>314</v>
      </c>
      <c r="L48" s="106" t="s">
        <v>315</v>
      </c>
      <c r="M48" s="106" t="s">
        <v>316</v>
      </c>
    </row>
    <row r="50" spans="2:16" x14ac:dyDescent="0.25">
      <c r="B50" s="106" t="s">
        <v>63</v>
      </c>
      <c r="E50" s="106" t="s">
        <v>64</v>
      </c>
      <c r="F50" s="106" t="s">
        <v>317</v>
      </c>
      <c r="H50" s="106" t="s">
        <v>318</v>
      </c>
      <c r="J50" s="106" t="s">
        <v>319</v>
      </c>
      <c r="L50" s="106" t="s">
        <v>320</v>
      </c>
      <c r="N50" s="106" t="s">
        <v>321</v>
      </c>
      <c r="P50" s="106" t="s">
        <v>322</v>
      </c>
    </row>
    <row r="51" spans="2:16" x14ac:dyDescent="0.25">
      <c r="L51" s="106" t="s">
        <v>323</v>
      </c>
    </row>
    <row r="52" spans="2:16" x14ac:dyDescent="0.25">
      <c r="D52" s="106" t="s">
        <v>65</v>
      </c>
      <c r="F52" s="106" t="s">
        <v>324</v>
      </c>
      <c r="H52" s="106" t="s">
        <v>325</v>
      </c>
      <c r="J52" s="106" t="s">
        <v>326</v>
      </c>
      <c r="L52" s="106" t="s">
        <v>327</v>
      </c>
      <c r="M52" s="106" t="s">
        <v>328</v>
      </c>
    </row>
    <row r="54" spans="2:16" x14ac:dyDescent="0.25">
      <c r="B54" s="106" t="s">
        <v>149</v>
      </c>
      <c r="E54" s="106" t="s">
        <v>66</v>
      </c>
      <c r="F54" s="106" t="s">
        <v>329</v>
      </c>
      <c r="H54" s="106" t="s">
        <v>330</v>
      </c>
      <c r="J54" s="106" t="s">
        <v>331</v>
      </c>
      <c r="L54" s="106" t="s">
        <v>332</v>
      </c>
    </row>
    <row r="56" spans="2:16" x14ac:dyDescent="0.25">
      <c r="D56" s="106" t="s">
        <v>67</v>
      </c>
      <c r="F56" s="106" t="s">
        <v>333</v>
      </c>
      <c r="H56" s="106" t="s">
        <v>334</v>
      </c>
      <c r="J56" s="106" t="s">
        <v>335</v>
      </c>
      <c r="L56" s="106" t="s">
        <v>336</v>
      </c>
      <c r="M56" s="106" t="s">
        <v>337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54</vt:i4>
      </vt:variant>
    </vt:vector>
  </HeadingPairs>
  <TitlesOfParts>
    <vt:vector size="61" baseType="lpstr">
      <vt:lpstr>Read Me</vt:lpstr>
      <vt:lpstr>Options</vt:lpstr>
      <vt:lpstr>Scorecard</vt:lpstr>
      <vt:lpstr>Overview</vt:lpstr>
      <vt:lpstr>P&amp;L</vt:lpstr>
      <vt:lpstr>Balance Sheet</vt:lpstr>
      <vt:lpstr>Acct Ranges</vt:lpstr>
      <vt:lpstr>Accounts_Payable</vt:lpstr>
      <vt:lpstr>Accounts_Payable_Days</vt:lpstr>
      <vt:lpstr>Accounts_Receivable</vt:lpstr>
      <vt:lpstr>Annualized_Revenue</vt:lpstr>
      <vt:lpstr>Average_Total_Long_Term_Liabilities</vt:lpstr>
      <vt:lpstr>Budget_name</vt:lpstr>
      <vt:lpstr>Budgeted_Depreciation</vt:lpstr>
      <vt:lpstr>Budgeted_Gross_Profit</vt:lpstr>
      <vt:lpstr>Budgeted_Interest</vt:lpstr>
      <vt:lpstr>Budgeted_Net_Sales</vt:lpstr>
      <vt:lpstr>Budgeted_Operating_Expenses</vt:lpstr>
      <vt:lpstr>Budgeted_Revenue</vt:lpstr>
      <vt:lpstr>COGS</vt:lpstr>
      <vt:lpstr>COGS_Annual</vt:lpstr>
      <vt:lpstr>Current_Assets</vt:lpstr>
      <vt:lpstr>Current_Liabilities</vt:lpstr>
      <vt:lpstr>Current_Ratio</vt:lpstr>
      <vt:lpstr>Date_Filter</vt:lpstr>
      <vt:lpstr>Days_in_Period</vt:lpstr>
      <vt:lpstr>Depreciation</vt:lpstr>
      <vt:lpstr>Depreciation_Annualized</vt:lpstr>
      <vt:lpstr>DSO</vt:lpstr>
      <vt:lpstr>EAT</vt:lpstr>
      <vt:lpstr>EAT_Annualized</vt:lpstr>
      <vt:lpstr>EBIT</vt:lpstr>
      <vt:lpstr>EBT</vt:lpstr>
      <vt:lpstr>EBT_Annualized</vt:lpstr>
      <vt:lpstr>End_Date</vt:lpstr>
      <vt:lpstr>Fixed_Assets</vt:lpstr>
      <vt:lpstr>Fixed_Assets_Average</vt:lpstr>
      <vt:lpstr>Gross_Profit</vt:lpstr>
      <vt:lpstr>Interest</vt:lpstr>
      <vt:lpstr>Interest_Annualized</vt:lpstr>
      <vt:lpstr>Interest_Expense</vt:lpstr>
      <vt:lpstr>Inventory</vt:lpstr>
      <vt:lpstr>Inventory_Average</vt:lpstr>
      <vt:lpstr>Inventory_Days</vt:lpstr>
      <vt:lpstr>Long_Term_Liabilities</vt:lpstr>
      <vt:lpstr>Net_Income</vt:lpstr>
      <vt:lpstr>Net_Income_Annualized</vt:lpstr>
      <vt:lpstr>Net_Sales</vt:lpstr>
      <vt:lpstr>Operating_Expenses</vt:lpstr>
      <vt:lpstr>Quick_Ratio</vt:lpstr>
      <vt:lpstr>Revenue_Annualized</vt:lpstr>
      <vt:lpstr>Short_Term_Loans</vt:lpstr>
      <vt:lpstr>Start_Date</vt:lpstr>
      <vt:lpstr>Total_Assets</vt:lpstr>
      <vt:lpstr>Total_Assets_Average</vt:lpstr>
      <vt:lpstr>Total_Assets_on_Start_Date</vt:lpstr>
      <vt:lpstr>Total_Equity</vt:lpstr>
      <vt:lpstr>Total_Equity_Average</vt:lpstr>
      <vt:lpstr>Total_Liabilities</vt:lpstr>
      <vt:lpstr>Total_Liabilities_and_Equity</vt:lpstr>
      <vt:lpstr>Working_Capital</vt:lpstr>
    </vt:vector>
  </TitlesOfParts>
  <Company>Jet Reports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Company Overview</dc:title>
  <dc:subject>Jet Reports</dc:subject>
  <dc:creator>Stephen J. Little</dc:creator>
  <cp:keywords>Income Statement; Balance Sheet; P&amp;L</cp:keywords>
  <dc:description>Overview of a company's financial health showing many different metrics that are calculated from the General Ledger.</dc:description>
  <cp:lastModifiedBy>Kim R. Duey</cp:lastModifiedBy>
  <cp:lastPrinted>2011-06-29T23:22:23Z</cp:lastPrinted>
  <dcterms:created xsi:type="dcterms:W3CDTF">2011-04-27T16:25:18Z</dcterms:created>
  <dcterms:modified xsi:type="dcterms:W3CDTF">2018-10-15T17:32:30Z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