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Done\"/>
    </mc:Choice>
  </mc:AlternateContent>
  <bookViews>
    <workbookView xWindow="0" yWindow="0" windowWidth="24000" windowHeight="9735"/>
  </bookViews>
  <sheets>
    <sheet name="READ ME" sheetId="147" r:id="rId1"/>
    <sheet name="Option" sheetId="2" state="hidden" r:id="rId2"/>
    <sheet name="Rising Stars - Vendors" sheetId="145" r:id="rId3"/>
    <sheet name="Falling Stars - Vendors" sheetId="1" r:id="rId4"/>
    <sheet name="Sheet1" sheetId="157" state="veryHidden" r:id="rId5"/>
    <sheet name="Sheet2" sheetId="158" state="veryHidden" r:id="rId6"/>
    <sheet name="Sheet3" sheetId="159" state="veryHidden" r:id="rId7"/>
    <sheet name="Sheet4" sheetId="160" state="veryHidden" r:id="rId8"/>
    <sheet name="Sheet5" sheetId="161" state="veryHidden" r:id="rId9"/>
    <sheet name="Sheet6" sheetId="162" state="veryHidden" r:id="rId10"/>
    <sheet name="Sheet7" sheetId="163" state="veryHidden" r:id="rId11"/>
    <sheet name="Sheet8" sheetId="164" state="veryHidden" r:id="rId12"/>
    <sheet name="Sheet9" sheetId="165" state="veryHidden" r:id="rId13"/>
  </sheets>
  <definedNames>
    <definedName name="Country_Code">Option!$D$8</definedName>
    <definedName name="Most_recent_Period">Option!$D$5</definedName>
    <definedName name="No_of_Vendors_Desplayed">Option!$D$9</definedName>
    <definedName name="_xlnm.Print_Area" localSheetId="3">'Falling Stars - Vendors'!$E$3:$S$56</definedName>
    <definedName name="_xlnm.Print_Area" localSheetId="2">'Rising Stars - Vendors'!$E$3:$S$56</definedName>
    <definedName name="Prior_Period">Option!$D$6</definedName>
    <definedName name="Sales_Exceeding">Option!$D$11</definedName>
    <definedName name="Sorting">Option!$D$10</definedName>
    <definedName name="Top_vendors_to_examine">Option!$D$12</definedName>
    <definedName name="Vendor_Posting_group">Option!$D$7</definedName>
  </definedNames>
  <calcPr calcId="162913"/>
</workbook>
</file>

<file path=xl/calcChain.xml><?xml version="1.0" encoding="utf-8"?>
<calcChain xmlns="http://schemas.openxmlformats.org/spreadsheetml/2006/main">
  <c r="E7" i="2" l="1"/>
  <c r="E8" i="2"/>
  <c r="E10" i="2"/>
  <c r="E11" i="2"/>
  <c r="D10" i="145"/>
  <c r="F14" i="145"/>
  <c r="H14" i="145"/>
  <c r="Q14" i="145"/>
  <c r="R14" i="145"/>
  <c r="S14" i="145"/>
  <c r="F15" i="145"/>
  <c r="H15" i="145"/>
  <c r="Q15" i="145"/>
  <c r="R15" i="145"/>
  <c r="S15" i="145"/>
  <c r="F16" i="145"/>
  <c r="H16" i="145"/>
  <c r="Q16" i="145"/>
  <c r="R16" i="145"/>
  <c r="S16" i="145"/>
  <c r="F17" i="145"/>
  <c r="H17" i="145"/>
  <c r="Q17" i="145"/>
  <c r="R17" i="145"/>
  <c r="S17" i="145"/>
  <c r="F18" i="145"/>
  <c r="H18" i="145"/>
  <c r="Q18" i="145"/>
  <c r="R18" i="145"/>
  <c r="S18" i="145"/>
  <c r="F19" i="145"/>
  <c r="H19" i="145"/>
  <c r="Q19" i="145"/>
  <c r="R19" i="145"/>
  <c r="S19" i="145"/>
  <c r="F20" i="145"/>
  <c r="H20" i="145"/>
  <c r="Q20" i="145"/>
  <c r="R20" i="145"/>
  <c r="S20" i="145"/>
  <c r="F21" i="145"/>
  <c r="H21" i="145"/>
  <c r="Q21" i="145"/>
  <c r="R21" i="145"/>
  <c r="S21" i="145"/>
  <c r="F22" i="145"/>
  <c r="H22" i="145"/>
  <c r="Q22" i="145"/>
  <c r="R22" i="145"/>
  <c r="S22" i="145"/>
  <c r="F23" i="145"/>
  <c r="H23" i="145"/>
  <c r="Q23" i="145"/>
  <c r="R23" i="145"/>
  <c r="S23" i="145"/>
  <c r="D34" i="145"/>
  <c r="G34" i="145"/>
  <c r="K34" i="145"/>
  <c r="M34" i="145"/>
  <c r="D35" i="145"/>
  <c r="G35" i="145"/>
  <c r="K35" i="145"/>
  <c r="M35" i="145"/>
  <c r="D36" i="145"/>
  <c r="G36" i="145"/>
  <c r="K36" i="145"/>
  <c r="M36" i="145"/>
  <c r="D37" i="145"/>
  <c r="G37" i="145"/>
  <c r="K37" i="145"/>
  <c r="M37" i="145"/>
  <c r="D38" i="145"/>
  <c r="G38" i="145"/>
  <c r="K38" i="145"/>
  <c r="M38" i="145"/>
  <c r="D39" i="145"/>
  <c r="G39" i="145"/>
  <c r="K39" i="145"/>
  <c r="M39" i="145"/>
  <c r="D40" i="145"/>
  <c r="G40" i="145"/>
  <c r="K40" i="145"/>
  <c r="M40" i="145"/>
  <c r="D41" i="145"/>
  <c r="G41" i="145"/>
  <c r="K41" i="145"/>
  <c r="M41" i="145"/>
  <c r="D42" i="145"/>
  <c r="G42" i="145"/>
  <c r="K42" i="145"/>
  <c r="M42" i="145"/>
  <c r="D43" i="145"/>
  <c r="G43" i="145"/>
  <c r="K43" i="145"/>
  <c r="M43" i="145"/>
  <c r="D44" i="145"/>
  <c r="G44" i="145"/>
  <c r="K44" i="145"/>
  <c r="M44" i="145"/>
  <c r="D45" i="145"/>
  <c r="G45" i="145"/>
  <c r="K45" i="145"/>
  <c r="M45" i="145"/>
  <c r="D46" i="145"/>
  <c r="G46" i="145"/>
  <c r="K46" i="145"/>
  <c r="M46" i="145"/>
  <c r="D47" i="145"/>
  <c r="G47" i="145"/>
  <c r="K47" i="145"/>
  <c r="M47" i="145"/>
  <c r="D48" i="145"/>
  <c r="G48" i="145"/>
  <c r="K48" i="145"/>
  <c r="M48" i="145"/>
  <c r="D49" i="145"/>
  <c r="G49" i="145"/>
  <c r="K49" i="145"/>
  <c r="M49" i="145"/>
  <c r="D50" i="145"/>
  <c r="G50" i="145"/>
  <c r="K50" i="145"/>
  <c r="M50" i="145"/>
  <c r="D51" i="145"/>
  <c r="G51" i="145"/>
  <c r="K51" i="145"/>
  <c r="M51" i="145"/>
  <c r="D52" i="145"/>
  <c r="G52" i="145"/>
  <c r="K52" i="145"/>
  <c r="M52" i="145"/>
  <c r="D53" i="145"/>
  <c r="G53" i="145"/>
  <c r="K53" i="145"/>
  <c r="M53" i="145"/>
  <c r="D54" i="145"/>
  <c r="G54" i="145"/>
  <c r="K54" i="145"/>
  <c r="M54" i="145"/>
  <c r="D10" i="1"/>
  <c r="F14" i="1"/>
  <c r="H14" i="1"/>
  <c r="Q14" i="1"/>
  <c r="R14" i="1"/>
  <c r="S14" i="1"/>
  <c r="F15" i="1"/>
  <c r="H15" i="1"/>
  <c r="Q15" i="1"/>
  <c r="R15" i="1"/>
  <c r="S15" i="1"/>
  <c r="F16" i="1"/>
  <c r="H16" i="1"/>
  <c r="Q16" i="1"/>
  <c r="R16" i="1"/>
  <c r="S16" i="1"/>
  <c r="F17" i="1"/>
  <c r="H17" i="1"/>
  <c r="Q17" i="1"/>
  <c r="R17" i="1"/>
  <c r="S17" i="1"/>
  <c r="F18" i="1"/>
  <c r="H18" i="1"/>
  <c r="Q18" i="1"/>
  <c r="R18" i="1"/>
  <c r="S18" i="1"/>
  <c r="F19" i="1"/>
  <c r="H19" i="1"/>
  <c r="Q19" i="1"/>
  <c r="R19" i="1"/>
  <c r="S19" i="1"/>
  <c r="F20" i="1"/>
  <c r="H20" i="1"/>
  <c r="Q20" i="1"/>
  <c r="R20" i="1"/>
  <c r="S20" i="1"/>
  <c r="F21" i="1"/>
  <c r="H21" i="1"/>
  <c r="Q21" i="1"/>
  <c r="R21" i="1"/>
  <c r="S21" i="1"/>
  <c r="F22" i="1"/>
  <c r="H22" i="1"/>
  <c r="Q22" i="1"/>
  <c r="R22" i="1"/>
  <c r="S22" i="1"/>
  <c r="F23" i="1"/>
  <c r="H23" i="1"/>
  <c r="Q23" i="1"/>
  <c r="R23" i="1"/>
  <c r="S23" i="1"/>
  <c r="D34" i="1"/>
  <c r="G34" i="1"/>
  <c r="K34" i="1"/>
  <c r="M34" i="1" s="1"/>
  <c r="D35" i="1"/>
  <c r="G35" i="1"/>
  <c r="K35" i="1"/>
  <c r="M35" i="1" s="1"/>
  <c r="D36" i="1"/>
  <c r="G36" i="1"/>
  <c r="K36" i="1"/>
  <c r="M36" i="1" s="1"/>
  <c r="D37" i="1"/>
  <c r="G37" i="1"/>
  <c r="K37" i="1"/>
  <c r="M37" i="1" s="1"/>
  <c r="D38" i="1"/>
  <c r="G38" i="1"/>
  <c r="K38" i="1"/>
  <c r="M38" i="1" s="1"/>
  <c r="D39" i="1"/>
  <c r="G39" i="1"/>
  <c r="K39" i="1"/>
  <c r="M39" i="1" s="1"/>
  <c r="D40" i="1"/>
  <c r="G40" i="1"/>
  <c r="K40" i="1"/>
  <c r="M40" i="1" s="1"/>
  <c r="D41" i="1"/>
  <c r="G41" i="1"/>
  <c r="K41" i="1"/>
  <c r="M41" i="1" s="1"/>
  <c r="D42" i="1"/>
  <c r="G42" i="1"/>
  <c r="K42" i="1"/>
  <c r="M42" i="1" s="1"/>
  <c r="D43" i="1"/>
  <c r="G43" i="1"/>
  <c r="K43" i="1"/>
  <c r="M43" i="1" s="1"/>
  <c r="D44" i="1"/>
  <c r="G44" i="1"/>
  <c r="K44" i="1"/>
  <c r="M44" i="1" s="1"/>
  <c r="D45" i="1"/>
  <c r="G45" i="1"/>
  <c r="K45" i="1"/>
  <c r="M45" i="1" s="1"/>
  <c r="D46" i="1"/>
  <c r="G46" i="1"/>
  <c r="K46" i="1"/>
  <c r="M46" i="1" s="1"/>
  <c r="D47" i="1"/>
  <c r="G47" i="1"/>
  <c r="K47" i="1"/>
  <c r="M47" i="1" s="1"/>
  <c r="D48" i="1"/>
  <c r="G48" i="1"/>
  <c r="K48" i="1"/>
  <c r="M48" i="1" s="1"/>
  <c r="D49" i="1"/>
  <c r="G49" i="1"/>
  <c r="K49" i="1"/>
  <c r="M49" i="1" s="1"/>
  <c r="D50" i="1"/>
  <c r="G50" i="1"/>
  <c r="K50" i="1"/>
  <c r="M50" i="1" s="1"/>
  <c r="D51" i="1"/>
  <c r="G51" i="1"/>
  <c r="K51" i="1"/>
  <c r="M51" i="1" s="1"/>
  <c r="D52" i="1"/>
  <c r="G52" i="1"/>
  <c r="K52" i="1"/>
  <c r="M52" i="1" s="1"/>
  <c r="D53" i="1"/>
  <c r="G53" i="1"/>
  <c r="K53" i="1"/>
  <c r="M53" i="1" s="1"/>
  <c r="D54" i="1"/>
  <c r="G54" i="1"/>
  <c r="K54" i="1"/>
  <c r="M54" i="1" s="1"/>
  <c r="D9" i="1" l="1"/>
  <c r="G26" i="1" s="1"/>
  <c r="G8" i="1"/>
  <c r="G7" i="1"/>
  <c r="D7" i="1"/>
  <c r="G30" i="1" s="1"/>
  <c r="D6" i="1"/>
  <c r="I32" i="1" s="1"/>
  <c r="D5" i="1"/>
  <c r="J32" i="1" s="1"/>
  <c r="H7" i="1" l="1"/>
  <c r="H8" i="1"/>
  <c r="D9" i="145"/>
  <c r="G26" i="145" s="1"/>
  <c r="G8" i="145"/>
  <c r="G7" i="145"/>
  <c r="D7" i="145"/>
  <c r="G30" i="145" s="1"/>
  <c r="D6" i="145"/>
  <c r="H8" i="145" s="1"/>
  <c r="D5" i="145"/>
  <c r="H7" i="145" s="1"/>
  <c r="D3" i="145"/>
  <c r="D10" i="2"/>
  <c r="D8" i="1" s="1"/>
  <c r="F10" i="1" s="1"/>
  <c r="D6" i="2"/>
  <c r="D4" i="1" s="1"/>
  <c r="D5" i="2"/>
  <c r="D3" i="1" s="1"/>
  <c r="P13" i="145" l="1"/>
  <c r="J13" i="145"/>
  <c r="J32" i="145"/>
  <c r="O13" i="1"/>
  <c r="I13" i="1"/>
  <c r="P13" i="1"/>
  <c r="J13" i="1"/>
  <c r="B39" i="1"/>
  <c r="B54" i="1"/>
  <c r="B52" i="1"/>
  <c r="B50" i="1"/>
  <c r="B48" i="1"/>
  <c r="B46" i="1"/>
  <c r="B44" i="1"/>
  <c r="B42" i="1"/>
  <c r="B40" i="1"/>
  <c r="B38" i="1"/>
  <c r="B36" i="1"/>
  <c r="B45" i="1"/>
  <c r="B35" i="1"/>
  <c r="B53" i="1"/>
  <c r="B49" i="1"/>
  <c r="B47" i="1"/>
  <c r="B41" i="1"/>
  <c r="B37" i="1"/>
  <c r="B51" i="1"/>
  <c r="B43" i="1"/>
  <c r="D8" i="145"/>
  <c r="F10" i="145" s="1"/>
  <c r="D4" i="145"/>
  <c r="F5" i="1"/>
  <c r="I13" i="145" l="1"/>
  <c r="O13" i="145"/>
  <c r="I32" i="145"/>
  <c r="B34" i="1"/>
  <c r="C34" i="1" s="1"/>
  <c r="B54" i="145"/>
  <c r="B52" i="145"/>
  <c r="B50" i="145"/>
  <c r="B48" i="145"/>
  <c r="B46" i="145"/>
  <c r="B44" i="145"/>
  <c r="B42" i="145"/>
  <c r="B40" i="145"/>
  <c r="B38" i="145"/>
  <c r="B36" i="145"/>
  <c r="B37" i="145"/>
  <c r="B53" i="145"/>
  <c r="B51" i="145"/>
  <c r="B49" i="145"/>
  <c r="B47" i="145"/>
  <c r="B45" i="145"/>
  <c r="B43" i="145"/>
  <c r="B41" i="145"/>
  <c r="B39" i="145"/>
  <c r="B35" i="145"/>
  <c r="F5" i="145"/>
  <c r="C54" i="1" l="1"/>
  <c r="C38" i="1"/>
  <c r="C50" i="1"/>
  <c r="C48" i="1"/>
  <c r="C37" i="1"/>
  <c r="C40" i="1"/>
  <c r="C41" i="1"/>
  <c r="C35" i="1"/>
  <c r="G17" i="1" s="1"/>
  <c r="K17" i="1" s="1"/>
  <c r="C36" i="1"/>
  <c r="C46" i="1"/>
  <c r="C39" i="1"/>
  <c r="C51" i="1"/>
  <c r="C42" i="1"/>
  <c r="C52" i="1"/>
  <c r="C47" i="1"/>
  <c r="C43" i="1"/>
  <c r="C45" i="1"/>
  <c r="C53" i="1"/>
  <c r="C49" i="1"/>
  <c r="C44" i="1"/>
  <c r="C52" i="145"/>
  <c r="B34" i="145"/>
  <c r="C34" i="145" s="1"/>
  <c r="L17" i="1" l="1"/>
  <c r="M17" i="1"/>
  <c r="N17" i="1" s="1"/>
  <c r="G20" i="1"/>
  <c r="K20" i="1" s="1"/>
  <c r="G19" i="1"/>
  <c r="K19" i="1" s="1"/>
  <c r="G14" i="145"/>
  <c r="K14" i="145" s="1"/>
  <c r="G15" i="1"/>
  <c r="K15" i="1" s="1"/>
  <c r="G14" i="1"/>
  <c r="K14" i="1" s="1"/>
  <c r="G23" i="1"/>
  <c r="K23" i="1" s="1"/>
  <c r="G22" i="1"/>
  <c r="K22" i="1" s="1"/>
  <c r="G18" i="1"/>
  <c r="K18" i="1" s="1"/>
  <c r="G21" i="1"/>
  <c r="K21" i="1" s="1"/>
  <c r="G16" i="1"/>
  <c r="K16" i="1" s="1"/>
  <c r="C35" i="145"/>
  <c r="G15" i="145" s="1"/>
  <c r="K15" i="145" s="1"/>
  <c r="C44" i="145"/>
  <c r="C53" i="145"/>
  <c r="C46" i="145"/>
  <c r="C51" i="145"/>
  <c r="C36" i="145"/>
  <c r="G23" i="145" s="1"/>
  <c r="K23" i="145" s="1"/>
  <c r="C41" i="145"/>
  <c r="C40" i="145"/>
  <c r="C49" i="145"/>
  <c r="C54" i="145"/>
  <c r="C47" i="145"/>
  <c r="C38" i="145"/>
  <c r="C50" i="145"/>
  <c r="C42" i="145"/>
  <c r="C43" i="145"/>
  <c r="C37" i="145"/>
  <c r="C48" i="145"/>
  <c r="C39" i="145"/>
  <c r="C45" i="145"/>
  <c r="M23" i="145" l="1"/>
  <c r="N23" i="145"/>
  <c r="L23" i="145"/>
  <c r="M15" i="145"/>
  <c r="N15" i="145"/>
  <c r="L15" i="145"/>
  <c r="L22" i="1"/>
  <c r="M22" i="1"/>
  <c r="N22" i="1" s="1"/>
  <c r="L23" i="1"/>
  <c r="M23" i="1"/>
  <c r="N23" i="1" s="1"/>
  <c r="G22" i="145"/>
  <c r="K22" i="145" s="1"/>
  <c r="M14" i="1"/>
  <c r="N14" i="1" s="1"/>
  <c r="L14" i="1"/>
  <c r="G18" i="145"/>
  <c r="K18" i="145" s="1"/>
  <c r="L15" i="1"/>
  <c r="M15" i="1"/>
  <c r="N15" i="1" s="1"/>
  <c r="L14" i="145"/>
  <c r="M14" i="145"/>
  <c r="N14" i="145"/>
  <c r="G20" i="145"/>
  <c r="K20" i="145" s="1"/>
  <c r="G21" i="145"/>
  <c r="K21" i="145" s="1"/>
  <c r="L16" i="1"/>
  <c r="M16" i="1"/>
  <c r="N16" i="1" s="1"/>
  <c r="G16" i="145"/>
  <c r="K16" i="145" s="1"/>
  <c r="G17" i="145"/>
  <c r="K17" i="145" s="1"/>
  <c r="L21" i="1"/>
  <c r="M21" i="1"/>
  <c r="N21" i="1" s="1"/>
  <c r="G19" i="145"/>
  <c r="K19" i="145" s="1"/>
  <c r="L19" i="1"/>
  <c r="M19" i="1"/>
  <c r="N19" i="1" s="1"/>
  <c r="L18" i="1"/>
  <c r="M18" i="1"/>
  <c r="N18" i="1" s="1"/>
  <c r="M20" i="1"/>
  <c r="N20" i="1" s="1"/>
  <c r="L20" i="1"/>
  <c r="B22" i="1"/>
  <c r="B21" i="1"/>
  <c r="B20" i="1"/>
  <c r="B19" i="1"/>
  <c r="B18" i="1"/>
  <c r="B15" i="1"/>
  <c r="B16" i="1"/>
  <c r="B17" i="1"/>
  <c r="B23" i="145"/>
  <c r="B15" i="145"/>
  <c r="L17" i="145" l="1"/>
  <c r="M17" i="145"/>
  <c r="N17" i="145"/>
  <c r="L16" i="145"/>
  <c r="B16" i="145" s="1"/>
  <c r="M16" i="145"/>
  <c r="N16" i="145"/>
  <c r="N18" i="145"/>
  <c r="L18" i="145"/>
  <c r="B18" i="145" s="1"/>
  <c r="M18" i="145"/>
  <c r="L21" i="145"/>
  <c r="B21" i="145" s="1"/>
  <c r="M21" i="145"/>
  <c r="N21" i="145"/>
  <c r="M19" i="145"/>
  <c r="N19" i="145"/>
  <c r="L19" i="145"/>
  <c r="B19" i="145" s="1"/>
  <c r="L20" i="145"/>
  <c r="B20" i="145" s="1"/>
  <c r="M20" i="145"/>
  <c r="N20" i="145"/>
  <c r="N22" i="145"/>
  <c r="L22" i="145"/>
  <c r="B22" i="145" s="1"/>
  <c r="M22" i="145"/>
  <c r="B23" i="1"/>
  <c r="B14" i="1"/>
  <c r="B14" i="145"/>
  <c r="B17" i="145" l="1"/>
</calcChain>
</file>

<file path=xl/sharedStrings.xml><?xml version="1.0" encoding="utf-8"?>
<sst xmlns="http://schemas.openxmlformats.org/spreadsheetml/2006/main" count="1559" uniqueCount="633">
  <si>
    <t>Lookup</t>
  </si>
  <si>
    <t>Option</t>
  </si>
  <si>
    <t>hide</t>
  </si>
  <si>
    <t>Title</t>
  </si>
  <si>
    <t>Value</t>
  </si>
  <si>
    <t>Options Window</t>
  </si>
  <si>
    <t>Sorting</t>
  </si>
  <si>
    <t>Variance (%)</t>
  </si>
  <si>
    <t>Rank by sales variance</t>
  </si>
  <si>
    <t xml:space="preserve">Sales variance  - with minor adjustment. </t>
  </si>
  <si>
    <t>fit</t>
  </si>
  <si>
    <t>Most Recent Period</t>
  </si>
  <si>
    <t>Prior Period</t>
  </si>
  <si>
    <t>Hide</t>
  </si>
  <si>
    <t>Vendor Number</t>
  </si>
  <si>
    <t>Purchases</t>
  </si>
  <si>
    <t>Vendor Name</t>
  </si>
  <si>
    <t>Decrease in Purchases</t>
  </si>
  <si>
    <t>Increase in Purchases</t>
  </si>
  <si>
    <t>Min width    -</t>
  </si>
  <si>
    <t>Auto+Hide+Values</t>
  </si>
  <si>
    <t xml:space="preserve">Last Run: </t>
  </si>
  <si>
    <t xml:space="preserve">Report Readme </t>
  </si>
  <si>
    <t>About the report</t>
  </si>
  <si>
    <t>Version of Jet</t>
  </si>
  <si>
    <t>Services</t>
  </si>
  <si>
    <t>Training</t>
  </si>
  <si>
    <t>Sales</t>
  </si>
  <si>
    <t>Copyrights</t>
  </si>
  <si>
    <t>Country Code</t>
  </si>
  <si>
    <t>Vendor Posting Group</t>
  </si>
  <si>
    <t>Country</t>
  </si>
  <si>
    <t>*</t>
  </si>
  <si>
    <t>Show or hide row?</t>
  </si>
  <si>
    <t>Number of Vendors Displayed</t>
  </si>
  <si>
    <t>This is only used for ranking.  The "rows()" provides a small adjustment to ensure two items are never identically ranked, and keeps the items in original sort order.</t>
  </si>
  <si>
    <t>Hide+?</t>
  </si>
  <si>
    <t>Country code</t>
  </si>
  <si>
    <t>Fit</t>
  </si>
  <si>
    <t>VENDORS with the largest increase in activity</t>
  </si>
  <si>
    <t>Rank</t>
  </si>
  <si>
    <t>Vendor No.</t>
  </si>
  <si>
    <t>Purchase Invoices</t>
  </si>
  <si>
    <t>VENDORS with the largest decline in activity</t>
  </si>
  <si>
    <t>Show or Hide?</t>
  </si>
  <si>
    <t>Only show Vendors with sales exceeding</t>
  </si>
  <si>
    <t>Top Vendors to Examine</t>
  </si>
  <si>
    <t>Vendor Ranking</t>
  </si>
  <si>
    <t>Questions About This Report</t>
  </si>
  <si>
    <t>Click here to contact sample reports</t>
  </si>
  <si>
    <t>Click here for downloads</t>
  </si>
  <si>
    <t xml:space="preserve">This report identifies the vendors with the largest growth in activity and the vendors with the largest decline in activity over two time periods.  
For this report activity is  considered Invoiced amounts less credit memos.
The date period is based on the posting date of the document.  Dates used in filtering must be formatted to the same format used in NAV.
Vendors can be sorted either by sales amount or percentage change in sales.  The user has the ability to hide vendors with activity below a specified amount. </t>
  </si>
  <si>
    <t>Enter a date range using the date format used in your NAV instance</t>
  </si>
  <si>
    <t>Tooltip</t>
  </si>
  <si>
    <t>Getting Help</t>
  </si>
  <si>
    <t>This report can be modified by entering into Jet design mode. 
You may add Excel formulas in blank cells in viewer mode.
Note to Designers – The term “LCY” in fields such as “Sales(LCY)” refers to the local currency.  The field name within the NAV database might show differently depending upon the local currency used.  For example on data bases which use the US dollar as the local currency this will show as “Sales($)”.</t>
  </si>
  <si>
    <t>If you have questions about this or any other sample report, please email samplereports@jetglobal.com</t>
  </si>
  <si>
    <t>For additional reports or customizations for your reports please contact Jet services at services@jetglobal.com.</t>
  </si>
  <si>
    <t xml:space="preserve">2018 Jet Global Data Technologies, Inc. </t>
  </si>
  <si>
    <t>Click here for the Jet Help Center</t>
  </si>
  <si>
    <t>Click here to email Jet Global Services</t>
  </si>
  <si>
    <t>Click here to go to Jet Global contact page</t>
  </si>
  <si>
    <t>Click here to email Jet Global sales</t>
  </si>
  <si>
    <t>Functions and Conventions Used</t>
  </si>
  <si>
    <t>Modifying this report</t>
  </si>
  <si>
    <t xml:space="preserve">This report functions with Jet Basics or Jet Reports.  Reports are updated to the latest released version possible.  If you have an older version of Jet some report features may not work properly.  Please upgrade to the latest version of Jet. </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</si>
  <si>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</si>
  <si>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For training, see our website for more information.</t>
  </si>
  <si>
    <t>To contact a sales representative, send an email to sales.us@jetglobal.com.</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</si>
  <si>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</si>
  <si>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</si>
  <si>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r>
      <rPr>
        <u/>
        <sz val="10"/>
        <rFont val="Segoe UI"/>
        <family val="2"/>
      </rPr>
      <t>Excel</t>
    </r>
    <r>
      <rPr>
        <sz val="10"/>
        <rFont val="Segoe UI"/>
        <family val="2"/>
      </rPr>
      <t>:  IF, ISERROR, NOW, RANK, ROW, VLOOKUP, named ranges</t>
    </r>
  </si>
  <si>
    <r>
      <rPr>
        <u/>
        <sz val="10"/>
        <rFont val="Segoe UI"/>
        <family val="2"/>
      </rPr>
      <t>Jet</t>
    </r>
    <r>
      <rPr>
        <sz val="10"/>
        <rFont val="Segoe UI"/>
        <family val="2"/>
      </rPr>
      <t>:  NL("Rows"), NL("First"), NL("Sum"), NL("CountUnique"), NF, conditional hide</t>
    </r>
  </si>
  <si>
    <t>="01/01/2018..12/01/2018"</t>
  </si>
  <si>
    <t>="01/01/2017..12/01/2017"</t>
  </si>
  <si>
    <t>=NL("Lookup","23 Vendor","21 Vendor Posting Group")</t>
  </si>
  <si>
    <t>=NL("Lookup","23 Vendor","35 Country/Region Code","21 Vendor Posting Group",$D$7)</t>
  </si>
  <si>
    <t>10</t>
  </si>
  <si>
    <t>="Sorted by Amount"</t>
  </si>
  <si>
    <t>=NL("Lookup",{"Sorted by Amount","Sorted by Percentage"},{"Please identify how you would like your report sorted"})</t>
  </si>
  <si>
    <t>100</t>
  </si>
  <si>
    <t>=NL("Lookup","Integer","Number","Number","&gt;"&amp;0&amp;"&amp;"&amp;"&lt;"&amp;100000)</t>
  </si>
  <si>
    <t>500</t>
  </si>
  <si>
    <t>=Most_recent_Period</t>
  </si>
  <si>
    <t>=Prior_Period</t>
  </si>
  <si>
    <t>=Vendor_Posting_group</t>
  </si>
  <si>
    <t>=" from "&amp;$D$4&amp;" to "&amp;$D$3</t>
  </si>
  <si>
    <t>=Country_Code</t>
  </si>
  <si>
    <t>=No_of_Vendors_Desplayed</t>
  </si>
  <si>
    <t>=C5</t>
  </si>
  <si>
    <t>=D5</t>
  </si>
  <si>
    <t>=Sorting</t>
  </si>
  <si>
    <t>=C6</t>
  </si>
  <si>
    <t>=D6</t>
  </si>
  <si>
    <t>=Sales_Exceeding</t>
  </si>
  <si>
    <t>=Top_vendors_to_examine</t>
  </si>
  <si>
    <t>=D8</t>
  </si>
  <si>
    <t>=NP("Eval","=Now()")</t>
  </si>
  <si>
    <t>=$D$4</t>
  </si>
  <si>
    <t>=$D$3</t>
  </si>
  <si>
    <t>=IF(L14=0,"Hide","Show")</t>
  </si>
  <si>
    <t>=NL("Rows","2000000026 Integer","1 Number","1 Number","&gt;0&amp;&lt;="&amp;$D$7)</t>
  </si>
  <si>
    <t>=D14</t>
  </si>
  <si>
    <t>=VLOOKUP($D14,$C$25:$G$26,5,FALSE)</t>
  </si>
  <si>
    <t>=NL("First","23 Vendor","2 Name","1 No.","@@"&amp;G14)</t>
  </si>
  <si>
    <t>=-NL("Sum","25 Vendor Ledger Entry","18 Purchase (LCY)","5 Document Type","Invoice|Credit Memo","4 Posting Date",$I$13,"3 Vendor No.","@@"&amp;$G14)</t>
  </si>
  <si>
    <t>=-NL("Sum","25 Vendor Ledger Entry","18 Purchase (LCY)","5 Document Type","Invoice|Credit Memo","4 Posting Date",$J$13,"3 Vendor No.","@@"&amp;$G14)</t>
  </si>
  <si>
    <t>=IF(ISERROR(G14),0,IF((J14&lt;I14),0,J14-I14))</t>
  </si>
  <si>
    <t>=K14</t>
  </si>
  <si>
    <t>=IF(I14&lt;=0,"",K14/I14)</t>
  </si>
  <si>
    <t>=IF(I14&lt;=0,"Infinite",K14/I14)</t>
  </si>
  <si>
    <t>=NL("CountUnique","25 Vendor Ledger Entry","6 Document No.","5 Document Type","Invoice","4 Posting Date",$O$13,"3 Vendor No.","@@"&amp;G14)</t>
  </si>
  <si>
    <t>=NL("CountUnique","25 Vendor Ledger Entry","6 Document No.","5 Document Type","Invoice","4 Posting Date",$P$13,"3 Vendor No.","@@"&amp;G14)</t>
  </si>
  <si>
    <t>=NL("First","23 Vendor","21 Vendor Posting Group","1 No.","@@"&amp;$G14)</t>
  </si>
  <si>
    <t>=NL("First","23 Vendor","35 Country/Region Code","1 No.","@@"&amp;$G14)</t>
  </si>
  <si>
    <t>=NL("First","9 Country/Region","2 Name","1 Code","@@"&amp;$R14)</t>
  </si>
  <si>
    <t>="Vendors with purchase activity of less than "&amp;D9 &amp;" not shown"</t>
  </si>
  <si>
    <t>="This section gathers sales data for the top "&amp;D10&amp;" vendors and ranks them by sales increase.  The rankings are used in the section above to display the top "&amp;D7&amp;" vendors."</t>
  </si>
  <si>
    <t>=IF($D$8="Sorted by Amount",K25-(ROW(K25)/100000),M25-(ROW(M25)/100000))</t>
  </si>
  <si>
    <t>=RANK(B25,$B$25:$B$26,0)</t>
  </si>
  <si>
    <t>=NL("Rows","23 Vendor",,"55 Date Filter",$D$3,"-62 Purchases (LCY)","&gt;"&amp;$D$9,"limit=",$D$10,"21 Vendor Posting Group",$D$5,"35 Country/Region Code",$D$6)</t>
  </si>
  <si>
    <t>=NF($D25,"1 No.")</t>
  </si>
  <si>
    <t>=-NL("Sum","25 Vendor Ledger Entry","18 Purchase (LCY)","5 Document Type","Invoice|Credit Memo","4 Posting Date",$I$23,"3 Vendor No.","@@"&amp;$G25)</t>
  </si>
  <si>
    <t>=-NL("Sum","25 Vendor Ledger Entry","18 Purchase (LCY)","5 Document Type","Invoice|Credit Memo","4 Posting Date",$J$23,"3 Vendor No.","@@"&amp;$G25)</t>
  </si>
  <si>
    <t>=J25-I25</t>
  </si>
  <si>
    <t>=IF(I25&lt;=0,999999,J25/I25)</t>
  </si>
  <si>
    <t>=D4</t>
  </si>
  <si>
    <t>=D3</t>
  </si>
  <si>
    <t>=IF(K14=0,"Hide","Show")</t>
  </si>
  <si>
    <t>=-NL("Sum","25 Vendor Ledger Entry","18 Purchase (LCY)","5 Document Type","Invoice|Credit Memo","Posting Date",$D$4,"3 Vendor No.","@@"&amp;$G14)</t>
  </si>
  <si>
    <t>=-NL("Sum","25 Vendor Ledger Entry","18 Purchase (LCY)","5 Document Type","Invoice|Credit Memo","4 Posting Date",$D$3,"3 Vendor No.","@@"&amp;$G14)</t>
  </si>
  <si>
    <t>=IF(ISERROR(G14),0,IF((J14&gt;I14),0,J14-I14))</t>
  </si>
  <si>
    <t>=-K14</t>
  </si>
  <si>
    <t>=IF(K14=0,0,K14/I14)</t>
  </si>
  <si>
    <t>=-M14</t>
  </si>
  <si>
    <t>=NL("CountUnique","25 Vendor Ledger Entry","6 Document No.","5 Document Type","Invoice","4 Posting Date",$D$4,"3 Vendor No.","@@"&amp;G14)</t>
  </si>
  <si>
    <t>=NL("CountUnique","25 Vendor Ledger Entry","6 Document No.","5 Document Type","Invoice","4 Posting Date",$D$3,"3 Vendor No.","@@"&amp;G14)</t>
  </si>
  <si>
    <t>="This section gathers sales data for the top "&amp;D10&amp;" vendors and ranks them by sales decrease  The rankings are used in the section above to display the top "&amp;D7&amp;" vendors."</t>
  </si>
  <si>
    <t>=$D$6</t>
  </si>
  <si>
    <t>=$D$5</t>
  </si>
  <si>
    <t>=NL("Rows","23 Vendor",,"1 No.","*","Date Filter",$D$4,"-62 Purchases (LCY)","&gt;"&amp;$D$7,"limit=",$D$10,"21 Vendor Posting Group",$D$5,"35 Country/Region Code",$D$6)</t>
  </si>
  <si>
    <t>=-NL("Sum","25 Vendor Ledger Entry","18 Purchase (LCY)","5 Document Type","Invoice|Credit Memo","4 Posting Date",$D$4,"3 Vendor No.","@@"&amp;$G25)</t>
  </si>
  <si>
    <t>=-NL("Sum","25 Vendor Ledger Entry","18 Purchase (LCY)","5 Document Type","Invoice|Credit Memo","4 Posting Date",$D$3,"3 Vendor No.","@@"&amp;$G25)</t>
  </si>
  <si>
    <t>=I25-J25</t>
  </si>
  <si>
    <t>=IF(I25&lt;=0,999999,K25/I25)</t>
  </si>
  <si>
    <t>Auto</t>
  </si>
  <si>
    <t>Hide+Auto</t>
  </si>
  <si>
    <t>hide+Auto</t>
  </si>
  <si>
    <t>=VLOOKUP($D14,$C$34:$G$55,5,FALSE)</t>
  </si>
  <si>
    <t>=IF(L15=0,"Hide","Show")</t>
  </si>
  <si>
    <t>2</t>
  </si>
  <si>
    <t>=D15</t>
  </si>
  <si>
    <t>=VLOOKUP($D15,$C$34:$G$55,5,FALSE)</t>
  </si>
  <si>
    <t>=NL("First","23 Vendor","2 Name","1 No.","@@"&amp;G15)</t>
  </si>
  <si>
    <t>=-NL("Sum","25 Vendor Ledger Entry","18 Purchase (LCY)","5 Document Type","Invoice|Credit Memo","4 Posting Date",$I$13,"3 Vendor No.","@@"&amp;$G15)</t>
  </si>
  <si>
    <t>=-NL("Sum","25 Vendor Ledger Entry","18 Purchase (LCY)","5 Document Type","Invoice|Credit Memo","4 Posting Date",$J$13,"3 Vendor No.","@@"&amp;$G15)</t>
  </si>
  <si>
    <t>=IF(ISERROR(G15),0,IF((J15&lt;I15),0,J15-I15))</t>
  </si>
  <si>
    <t>=K15</t>
  </si>
  <si>
    <t>=IF(I15&lt;=0,"",K15/I15)</t>
  </si>
  <si>
    <t>=IF(I15&lt;=0,"Infinite",K15/I15)</t>
  </si>
  <si>
    <t>=NL("CountUnique","25 Vendor Ledger Entry","6 Document No.","5 Document Type","Invoice","4 Posting Date",$O$13,"3 Vendor No.","@@"&amp;G15)</t>
  </si>
  <si>
    <t>=NL("CountUnique","25 Vendor Ledger Entry","6 Document No.","5 Document Type","Invoice","4 Posting Date",$P$13,"3 Vendor No.","@@"&amp;G15)</t>
  </si>
  <si>
    <t>=NL("First","23 Vendor","21 Vendor Posting Group","1 No.","@@"&amp;$G15)</t>
  </si>
  <si>
    <t>=NL("First","23 Vendor","35 Country/Region Code","1 No.","@@"&amp;$G15)</t>
  </si>
  <si>
    <t>=NL("First","9 Country/Region","2 Name","1 Code","@@"&amp;$R15)</t>
  </si>
  <si>
    <t>=IF(L16=0,"Hide","Show")</t>
  </si>
  <si>
    <t>3</t>
  </si>
  <si>
    <t>=D16</t>
  </si>
  <si>
    <t>=VLOOKUP($D16,$C$34:$G$55,5,FALSE)</t>
  </si>
  <si>
    <t>=NL("First","23 Vendor","2 Name","1 No.","@@"&amp;G16)</t>
  </si>
  <si>
    <t>=-NL("Sum","25 Vendor Ledger Entry","18 Purchase (LCY)","5 Document Type","Invoice|Credit Memo","4 Posting Date",$I$13,"3 Vendor No.","@@"&amp;$G16)</t>
  </si>
  <si>
    <t>=-NL("Sum","25 Vendor Ledger Entry","18 Purchase (LCY)","5 Document Type","Invoice|Credit Memo","4 Posting Date",$J$13,"3 Vendor No.","@@"&amp;$G16)</t>
  </si>
  <si>
    <t>=IF(ISERROR(G16),0,IF((J16&lt;I16),0,J16-I16))</t>
  </si>
  <si>
    <t>=K16</t>
  </si>
  <si>
    <t>=IF(I16&lt;=0,"",K16/I16)</t>
  </si>
  <si>
    <t>=IF(I16&lt;=0,"Infinite",K16/I16)</t>
  </si>
  <si>
    <t>=NL("CountUnique","25 Vendor Ledger Entry","6 Document No.","5 Document Type","Invoice","4 Posting Date",$O$13,"3 Vendor No.","@@"&amp;G16)</t>
  </si>
  <si>
    <t>=NL("CountUnique","25 Vendor Ledger Entry","6 Document No.","5 Document Type","Invoice","4 Posting Date",$P$13,"3 Vendor No.","@@"&amp;G16)</t>
  </si>
  <si>
    <t>=NL("First","23 Vendor","21 Vendor Posting Group","1 No.","@@"&amp;$G16)</t>
  </si>
  <si>
    <t>=NL("First","23 Vendor","35 Country/Region Code","1 No.","@@"&amp;$G16)</t>
  </si>
  <si>
    <t>=NL("First","9 Country/Region","2 Name","1 Code","@@"&amp;$R16)</t>
  </si>
  <si>
    <t>=IF(L17=0,"Hide","Show")</t>
  </si>
  <si>
    <t>4</t>
  </si>
  <si>
    <t>=D17</t>
  </si>
  <si>
    <t>=VLOOKUP($D17,$C$34:$G$55,5,FALSE)</t>
  </si>
  <si>
    <t>=NL("First","23 Vendor","2 Name","1 No.","@@"&amp;G17)</t>
  </si>
  <si>
    <t>=-NL("Sum","25 Vendor Ledger Entry","18 Purchase (LCY)","5 Document Type","Invoice|Credit Memo","4 Posting Date",$I$13,"3 Vendor No.","@@"&amp;$G17)</t>
  </si>
  <si>
    <t>=-NL("Sum","25 Vendor Ledger Entry","18 Purchase (LCY)","5 Document Type","Invoice|Credit Memo","4 Posting Date",$J$13,"3 Vendor No.","@@"&amp;$G17)</t>
  </si>
  <si>
    <t>=IF(ISERROR(G17),0,IF((J17&lt;I17),0,J17-I17))</t>
  </si>
  <si>
    <t>=K17</t>
  </si>
  <si>
    <t>=IF(I17&lt;=0,"",K17/I17)</t>
  </si>
  <si>
    <t>=IF(I17&lt;=0,"Infinite",K17/I17)</t>
  </si>
  <si>
    <t>=NL("CountUnique","25 Vendor Ledger Entry","6 Document No.","5 Document Type","Invoice","4 Posting Date",$O$13,"3 Vendor No.","@@"&amp;G17)</t>
  </si>
  <si>
    <t>=NL("CountUnique","25 Vendor Ledger Entry","6 Document No.","5 Document Type","Invoice","4 Posting Date",$P$13,"3 Vendor No.","@@"&amp;G17)</t>
  </si>
  <si>
    <t>=NL("First","23 Vendor","21 Vendor Posting Group","1 No.","@@"&amp;$G17)</t>
  </si>
  <si>
    <t>=NL("First","23 Vendor","35 Country/Region Code","1 No.","@@"&amp;$G17)</t>
  </si>
  <si>
    <t>=NL("First","9 Country/Region","2 Name","1 Code","@@"&amp;$R17)</t>
  </si>
  <si>
    <t>=IF(L18=0,"Hide","Show")</t>
  </si>
  <si>
    <t>5</t>
  </si>
  <si>
    <t>=D18</t>
  </si>
  <si>
    <t>=VLOOKUP($D18,$C$34:$G$55,5,FALSE)</t>
  </si>
  <si>
    <t>=NL("First","23 Vendor","2 Name","1 No.","@@"&amp;G18)</t>
  </si>
  <si>
    <t>=-NL("Sum","25 Vendor Ledger Entry","18 Purchase (LCY)","5 Document Type","Invoice|Credit Memo","4 Posting Date",$I$13,"3 Vendor No.","@@"&amp;$G18)</t>
  </si>
  <si>
    <t>=-NL("Sum","25 Vendor Ledger Entry","18 Purchase (LCY)","5 Document Type","Invoice|Credit Memo","4 Posting Date",$J$13,"3 Vendor No.","@@"&amp;$G18)</t>
  </si>
  <si>
    <t>=IF(ISERROR(G18),0,IF((J18&lt;I18),0,J18-I18))</t>
  </si>
  <si>
    <t>=K18</t>
  </si>
  <si>
    <t>=IF(I18&lt;=0,"",K18/I18)</t>
  </si>
  <si>
    <t>=IF(I18&lt;=0,"Infinite",K18/I18)</t>
  </si>
  <si>
    <t>=NL("CountUnique","25 Vendor Ledger Entry","6 Document No.","5 Document Type","Invoice","4 Posting Date",$O$13,"3 Vendor No.","@@"&amp;G18)</t>
  </si>
  <si>
    <t>=NL("CountUnique","25 Vendor Ledger Entry","6 Document No.","5 Document Type","Invoice","4 Posting Date",$P$13,"3 Vendor No.","@@"&amp;G18)</t>
  </si>
  <si>
    <t>=NL("First","23 Vendor","21 Vendor Posting Group","1 No.","@@"&amp;$G18)</t>
  </si>
  <si>
    <t>=NL("First","23 Vendor","35 Country/Region Code","1 No.","@@"&amp;$G18)</t>
  </si>
  <si>
    <t>=NL("First","9 Country/Region","2 Name","1 Code","@@"&amp;$R18)</t>
  </si>
  <si>
    <t>=IF(L19=0,"Hide","Show")</t>
  </si>
  <si>
    <t>6</t>
  </si>
  <si>
    <t>=D19</t>
  </si>
  <si>
    <t>=VLOOKUP($D19,$C$34:$G$55,5,FALSE)</t>
  </si>
  <si>
    <t>=NL("First","23 Vendor","2 Name","1 No.","@@"&amp;G19)</t>
  </si>
  <si>
    <t>=-NL("Sum","25 Vendor Ledger Entry","18 Purchase (LCY)","5 Document Type","Invoice|Credit Memo","4 Posting Date",$I$13,"3 Vendor No.","@@"&amp;$G19)</t>
  </si>
  <si>
    <t>=-NL("Sum","25 Vendor Ledger Entry","18 Purchase (LCY)","5 Document Type","Invoice|Credit Memo","4 Posting Date",$J$13,"3 Vendor No.","@@"&amp;$G19)</t>
  </si>
  <si>
    <t>=IF(ISERROR(G19),0,IF((J19&lt;I19),0,J19-I19))</t>
  </si>
  <si>
    <t>=K19</t>
  </si>
  <si>
    <t>=IF(I19&lt;=0,"",K19/I19)</t>
  </si>
  <si>
    <t>=IF(I19&lt;=0,"Infinite",K19/I19)</t>
  </si>
  <si>
    <t>=NL("CountUnique","25 Vendor Ledger Entry","6 Document No.","5 Document Type","Invoice","4 Posting Date",$O$13,"3 Vendor No.","@@"&amp;G19)</t>
  </si>
  <si>
    <t>=NL("CountUnique","25 Vendor Ledger Entry","6 Document No.","5 Document Type","Invoice","4 Posting Date",$P$13,"3 Vendor No.","@@"&amp;G19)</t>
  </si>
  <si>
    <t>=NL("First","23 Vendor","21 Vendor Posting Group","1 No.","@@"&amp;$G19)</t>
  </si>
  <si>
    <t>=NL("First","23 Vendor","35 Country/Region Code","1 No.","@@"&amp;$G19)</t>
  </si>
  <si>
    <t>=NL("First","9 Country/Region","2 Name","1 Code","@@"&amp;$R19)</t>
  </si>
  <si>
    <t>=IF(L20=0,"Hide","Show")</t>
  </si>
  <si>
    <t>7</t>
  </si>
  <si>
    <t>=D20</t>
  </si>
  <si>
    <t>=VLOOKUP($D20,$C$34:$G$55,5,FALSE)</t>
  </si>
  <si>
    <t>=NL("First","23 Vendor","2 Name","1 No.","@@"&amp;G20)</t>
  </si>
  <si>
    <t>=-NL("Sum","25 Vendor Ledger Entry","18 Purchase (LCY)","5 Document Type","Invoice|Credit Memo","4 Posting Date",$I$13,"3 Vendor No.","@@"&amp;$G20)</t>
  </si>
  <si>
    <t>=-NL("Sum","25 Vendor Ledger Entry","18 Purchase (LCY)","5 Document Type","Invoice|Credit Memo","4 Posting Date",$J$13,"3 Vendor No.","@@"&amp;$G20)</t>
  </si>
  <si>
    <t>=IF(ISERROR(G20),0,IF((J20&lt;I20),0,J20-I20))</t>
  </si>
  <si>
    <t>=K20</t>
  </si>
  <si>
    <t>=IF(I20&lt;=0,"",K20/I20)</t>
  </si>
  <si>
    <t>=IF(I20&lt;=0,"Infinite",K20/I20)</t>
  </si>
  <si>
    <t>=NL("CountUnique","25 Vendor Ledger Entry","6 Document No.","5 Document Type","Invoice","4 Posting Date",$O$13,"3 Vendor No.","@@"&amp;G20)</t>
  </si>
  <si>
    <t>=NL("CountUnique","25 Vendor Ledger Entry","6 Document No.","5 Document Type","Invoice","4 Posting Date",$P$13,"3 Vendor No.","@@"&amp;G20)</t>
  </si>
  <si>
    <t>=NL("First","23 Vendor","21 Vendor Posting Group","1 No.","@@"&amp;$G20)</t>
  </si>
  <si>
    <t>=NL("First","23 Vendor","35 Country/Region Code","1 No.","@@"&amp;$G20)</t>
  </si>
  <si>
    <t>=NL("First","9 Country/Region","2 Name","1 Code","@@"&amp;$R20)</t>
  </si>
  <si>
    <t>=IF(L21=0,"Hide","Show")</t>
  </si>
  <si>
    <t>8</t>
  </si>
  <si>
    <t>=D21</t>
  </si>
  <si>
    <t>=VLOOKUP($D21,$C$34:$G$55,5,FALSE)</t>
  </si>
  <si>
    <t>=NL("First","23 Vendor","2 Name","1 No.","@@"&amp;G21)</t>
  </si>
  <si>
    <t>=-NL("Sum","25 Vendor Ledger Entry","18 Purchase (LCY)","5 Document Type","Invoice|Credit Memo","4 Posting Date",$I$13,"3 Vendor No.","@@"&amp;$G21)</t>
  </si>
  <si>
    <t>=-NL("Sum","25 Vendor Ledger Entry","18 Purchase (LCY)","5 Document Type","Invoice|Credit Memo","4 Posting Date",$J$13,"3 Vendor No.","@@"&amp;$G21)</t>
  </si>
  <si>
    <t>=IF(ISERROR(G21),0,IF((J21&lt;I21),0,J21-I21))</t>
  </si>
  <si>
    <t>=K21</t>
  </si>
  <si>
    <t>=IF(I21&lt;=0,"",K21/I21)</t>
  </si>
  <si>
    <t>=IF(I21&lt;=0,"Infinite",K21/I21)</t>
  </si>
  <si>
    <t>=NL("CountUnique","25 Vendor Ledger Entry","6 Document No.","5 Document Type","Invoice","4 Posting Date",$O$13,"3 Vendor No.","@@"&amp;G21)</t>
  </si>
  <si>
    <t>=NL("CountUnique","25 Vendor Ledger Entry","6 Document No.","5 Document Type","Invoice","4 Posting Date",$P$13,"3 Vendor No.","@@"&amp;G21)</t>
  </si>
  <si>
    <t>=NL("First","23 Vendor","21 Vendor Posting Group","1 No.","@@"&amp;$G21)</t>
  </si>
  <si>
    <t>=NL("First","23 Vendor","35 Country/Region Code","1 No.","@@"&amp;$G21)</t>
  </si>
  <si>
    <t>=NL("First","9 Country/Region","2 Name","1 Code","@@"&amp;$R21)</t>
  </si>
  <si>
    <t>=IF(L22=0,"Hide","Show")</t>
  </si>
  <si>
    <t>9</t>
  </si>
  <si>
    <t>=D22</t>
  </si>
  <si>
    <t>=VLOOKUP($D22,$C$34:$G$55,5,FALSE)</t>
  </si>
  <si>
    <t>=NL("First","23 Vendor","2 Name","1 No.","@@"&amp;G22)</t>
  </si>
  <si>
    <t>=-NL("Sum","25 Vendor Ledger Entry","18 Purchase (LCY)","5 Document Type","Invoice|Credit Memo","4 Posting Date",$I$13,"3 Vendor No.","@@"&amp;$G22)</t>
  </si>
  <si>
    <t>=-NL("Sum","25 Vendor Ledger Entry","18 Purchase (LCY)","5 Document Type","Invoice|Credit Memo","4 Posting Date",$J$13,"3 Vendor No.","@@"&amp;$G22)</t>
  </si>
  <si>
    <t>=IF(ISERROR(G22),0,IF((J22&lt;I22),0,J22-I22))</t>
  </si>
  <si>
    <t>=K22</t>
  </si>
  <si>
    <t>=IF(I22&lt;=0,"",K22/I22)</t>
  </si>
  <si>
    <t>=IF(I22&lt;=0,"Infinite",K22/I22)</t>
  </si>
  <si>
    <t>=NL("CountUnique","25 Vendor Ledger Entry","6 Document No.","5 Document Type","Invoice","4 Posting Date",$O$13,"3 Vendor No.","@@"&amp;G22)</t>
  </si>
  <si>
    <t>=NL("CountUnique","25 Vendor Ledger Entry","6 Document No.","5 Document Type","Invoice","4 Posting Date",$P$13,"3 Vendor No.","@@"&amp;G22)</t>
  </si>
  <si>
    <t>=NL("First","23 Vendor","21 Vendor Posting Group","1 No.","@@"&amp;$G22)</t>
  </si>
  <si>
    <t>=NL("First","23 Vendor","35 Country/Region Code","1 No.","@@"&amp;$G22)</t>
  </si>
  <si>
    <t>=NL("First","9 Country/Region","2 Name","1 Code","@@"&amp;$R22)</t>
  </si>
  <si>
    <t>=IF(L23=0,"Hide","Show")</t>
  </si>
  <si>
    <t>=D23</t>
  </si>
  <si>
    <t>=VLOOKUP($D23,$C$34:$G$55,5,FALSE)</t>
  </si>
  <si>
    <t>=NL("First","23 Vendor","2 Name","1 No.","@@"&amp;G23)</t>
  </si>
  <si>
    <t>=-NL("Sum","25 Vendor Ledger Entry","18 Purchase (LCY)","5 Document Type","Invoice|Credit Memo","4 Posting Date",$I$13,"3 Vendor No.","@@"&amp;$G23)</t>
  </si>
  <si>
    <t>=-NL("Sum","25 Vendor Ledger Entry","18 Purchase (LCY)","5 Document Type","Invoice|Credit Memo","4 Posting Date",$J$13,"3 Vendor No.","@@"&amp;$G23)</t>
  </si>
  <si>
    <t>=IF(ISERROR(G23),0,IF((J23&lt;I23),0,J23-I23))</t>
  </si>
  <si>
    <t>=K23</t>
  </si>
  <si>
    <t>=IF(I23&lt;=0,"",K23/I23)</t>
  </si>
  <si>
    <t>=IF(I23&lt;=0,"Infinite",K23/I23)</t>
  </si>
  <si>
    <t>=NL("CountUnique","25 Vendor Ledger Entry","6 Document No.","5 Document Type","Invoice","4 Posting Date",$O$13,"3 Vendor No.","@@"&amp;G23)</t>
  </si>
  <si>
    <t>=NL("CountUnique","25 Vendor Ledger Entry","6 Document No.","5 Document Type","Invoice","4 Posting Date",$P$13,"3 Vendor No.","@@"&amp;G23)</t>
  </si>
  <si>
    <t>=NL("First","23 Vendor","21 Vendor Posting Group","1 No.","@@"&amp;$G23)</t>
  </si>
  <si>
    <t>=NL("First","23 Vendor","35 Country/Region Code","1 No.","@@"&amp;$G23)</t>
  </si>
  <si>
    <t>=NL("First","9 Country/Region","2 Name","1 Code","@@"&amp;$R23)</t>
  </si>
  <si>
    <t>=IF($D$8="Sorted by Amount",K34-(ROW(K34)/100000),M34-(ROW(M34)/100000))</t>
  </si>
  <si>
    <t>=RANK(B34,$B$34:$B$55,0)</t>
  </si>
  <si>
    <t>=J34-I34</t>
  </si>
  <si>
    <t>=IF(I34&lt;=0,999999,J34/I34)</t>
  </si>
  <si>
    <t>=IF($D$8="Sorted by Amount",K35-(ROW(K35)/100000),M35-(ROW(M35)/100000))</t>
  </si>
  <si>
    <t>=RANK(B35,$B$34:$B$55,0)</t>
  </si>
  <si>
    <t>="""NAV Direct"",""CRONUS JetCorp USA"",""23"",""1"",""V100007"""</t>
  </si>
  <si>
    <t>=J35-I35</t>
  </si>
  <si>
    <t>=IF(I35&lt;=0,999999,J35/I35)</t>
  </si>
  <si>
    <t>=IF($D$8="Sorted by Amount",K36-(ROW(K36)/100000),M36-(ROW(M36)/100000))</t>
  </si>
  <si>
    <t>=RANK(B36,$B$34:$B$55,0)</t>
  </si>
  <si>
    <t>="""NAV Direct"",""CRONUS JetCorp USA"",""23"",""1"",""V100040"""</t>
  </si>
  <si>
    <t>=J36-I36</t>
  </si>
  <si>
    <t>=IF(I36&lt;=0,999999,J36/I36)</t>
  </si>
  <si>
    <t>=IF($D$8="Sorted by Amount",K37-(ROW(K37)/100000),M37-(ROW(M37)/100000))</t>
  </si>
  <si>
    <t>=RANK(B37,$B$34:$B$55,0)</t>
  </si>
  <si>
    <t>="""NAV Direct"",""CRONUS JetCorp USA"",""23"",""1"",""V100003"""</t>
  </si>
  <si>
    <t>=J37-I37</t>
  </si>
  <si>
    <t>=IF(I37&lt;=0,999999,J37/I37)</t>
  </si>
  <si>
    <t>=IF($D$8="Sorted by Amount",K38-(ROW(K38)/100000),M38-(ROW(M38)/100000))</t>
  </si>
  <si>
    <t>=RANK(B38,$B$34:$B$55,0)</t>
  </si>
  <si>
    <t>="""NAV Direct"",""CRONUS JetCorp USA"",""23"",""1"",""V100006"""</t>
  </si>
  <si>
    <t>=J38-I38</t>
  </si>
  <si>
    <t>=IF(I38&lt;=0,999999,J38/I38)</t>
  </si>
  <si>
    <t>=IF($D$8="Sorted by Amount",K39-(ROW(K39)/100000),M39-(ROW(M39)/100000))</t>
  </si>
  <si>
    <t>=RANK(B39,$B$34:$B$55,0)</t>
  </si>
  <si>
    <t>="""NAV Direct"",""CRONUS JetCorp USA"",""23"",""1"",""V100009"""</t>
  </si>
  <si>
    <t>=J39-I39</t>
  </si>
  <si>
    <t>=IF(I39&lt;=0,999999,J39/I39)</t>
  </si>
  <si>
    <t>=IF($D$8="Sorted by Amount",K40-(ROW(K40)/100000),M40-(ROW(M40)/100000))</t>
  </si>
  <si>
    <t>=RANK(B40,$B$34:$B$55,0)</t>
  </si>
  <si>
    <t>="""NAV Direct"",""CRONUS JetCorp USA"",""23"",""1"",""V100071"""</t>
  </si>
  <si>
    <t>=J40-I40</t>
  </si>
  <si>
    <t>=IF(I40&lt;=0,999999,J40/I40)</t>
  </si>
  <si>
    <t>=IF($D$8="Sorted by Amount",K41-(ROW(K41)/100000),M41-(ROW(M41)/100000))</t>
  </si>
  <si>
    <t>=RANK(B41,$B$34:$B$55,0)</t>
  </si>
  <si>
    <t>="""NAV Direct"",""CRONUS JetCorp USA"",""23"",""1"",""V100047"""</t>
  </si>
  <si>
    <t>=J41-I41</t>
  </si>
  <si>
    <t>=IF(I41&lt;=0,999999,J41/I41)</t>
  </si>
  <si>
    <t>=IF($D$8="Sorted by Amount",K42-(ROW(K42)/100000),M42-(ROW(M42)/100000))</t>
  </si>
  <si>
    <t>=RANK(B42,$B$34:$B$55,0)</t>
  </si>
  <si>
    <t>="""NAV Direct"",""CRONUS JetCorp USA"",""23"",""1"",""V100023"""</t>
  </si>
  <si>
    <t>=J42-I42</t>
  </si>
  <si>
    <t>=IF(I42&lt;=0,999999,J42/I42)</t>
  </si>
  <si>
    <t>=IF($D$8="Sorted by Amount",K43-(ROW(K43)/100000),M43-(ROW(M43)/100000))</t>
  </si>
  <si>
    <t>=RANK(B43,$B$34:$B$55,0)</t>
  </si>
  <si>
    <t>="""NAV Direct"",""CRONUS JetCorp USA"",""23"",""1"",""V100005"""</t>
  </si>
  <si>
    <t>=J43-I43</t>
  </si>
  <si>
    <t>=IF(I43&lt;=0,999999,J43/I43)</t>
  </si>
  <si>
    <t>=IF($D$8="Sorted by Amount",K44-(ROW(K44)/100000),M44-(ROW(M44)/100000))</t>
  </si>
  <si>
    <t>=RANK(B44,$B$34:$B$55,0)</t>
  </si>
  <si>
    <t>="""NAV Direct"",""CRONUS JetCorp USA"",""23"",""1"",""V100069"""</t>
  </si>
  <si>
    <t>=J44-I44</t>
  </si>
  <si>
    <t>=IF(I44&lt;=0,999999,J44/I44)</t>
  </si>
  <si>
    <t>=IF($D$8="Sorted by Amount",K45-(ROW(K45)/100000),M45-(ROW(M45)/100000))</t>
  </si>
  <si>
    <t>=RANK(B45,$B$34:$B$55,0)</t>
  </si>
  <si>
    <t>="""NAV Direct"",""CRONUS JetCorp USA"",""23"",""1"",""V100070"""</t>
  </si>
  <si>
    <t>=J45-I45</t>
  </si>
  <si>
    <t>=IF(I45&lt;=0,999999,J45/I45)</t>
  </si>
  <si>
    <t>=IF($D$8="Sorted by Amount",K46-(ROW(K46)/100000),M46-(ROW(M46)/100000))</t>
  </si>
  <si>
    <t>=RANK(B46,$B$34:$B$55,0)</t>
  </si>
  <si>
    <t>="""NAV Direct"",""CRONUS JetCorp USA"",""23"",""1"",""V100078"""</t>
  </si>
  <si>
    <t>=J46-I46</t>
  </si>
  <si>
    <t>=IF(I46&lt;=0,999999,J46/I46)</t>
  </si>
  <si>
    <t>=IF($D$8="Sorted by Amount",K47-(ROW(K47)/100000),M47-(ROW(M47)/100000))</t>
  </si>
  <si>
    <t>=RANK(B47,$B$34:$B$55,0)</t>
  </si>
  <si>
    <t>="""NAV Direct"",""CRONUS JetCorp USA"",""23"",""1"",""V100076"""</t>
  </si>
  <si>
    <t>=J47-I47</t>
  </si>
  <si>
    <t>=IF(I47&lt;=0,999999,J47/I47)</t>
  </si>
  <si>
    <t>=IF($D$8="Sorted by Amount",K48-(ROW(K48)/100000),M48-(ROW(M48)/100000))</t>
  </si>
  <si>
    <t>=RANK(B48,$B$34:$B$55,0)</t>
  </si>
  <si>
    <t>="""NAV Direct"",""CRONUS JetCorp USA"",""23"",""1"",""V100075"""</t>
  </si>
  <si>
    <t>=J48-I48</t>
  </si>
  <si>
    <t>=IF(I48&lt;=0,999999,J48/I48)</t>
  </si>
  <si>
    <t>=IF($D$8="Sorted by Amount",K49-(ROW(K49)/100000),M49-(ROW(M49)/100000))</t>
  </si>
  <si>
    <t>=RANK(B49,$B$34:$B$55,0)</t>
  </si>
  <si>
    <t>="""NAV Direct"",""CRONUS JetCorp USA"",""23"",""1"",""V100072"""</t>
  </si>
  <si>
    <t>=J49-I49</t>
  </si>
  <si>
    <t>=IF(I49&lt;=0,999999,J49/I49)</t>
  </si>
  <si>
    <t>=IF($D$8="Sorted by Amount",K50-(ROW(K50)/100000),M50-(ROW(M50)/100000))</t>
  </si>
  <si>
    <t>=RANK(B50,$B$34:$B$55,0)</t>
  </si>
  <si>
    <t>="""NAV Direct"",""CRONUS JetCorp USA"",""23"",""1"",""V100074"""</t>
  </si>
  <si>
    <t>=J50-I50</t>
  </si>
  <si>
    <t>=IF(I50&lt;=0,999999,J50/I50)</t>
  </si>
  <si>
    <t>=IF($D$8="Sorted by Amount",K51-(ROW(K51)/100000),M51-(ROW(M51)/100000))</t>
  </si>
  <si>
    <t>=RANK(B51,$B$34:$B$55,0)</t>
  </si>
  <si>
    <t>="""NAV Direct"",""CRONUS JetCorp USA"",""23"",""1"",""V100025"""</t>
  </si>
  <si>
    <t>=J51-I51</t>
  </si>
  <si>
    <t>=IF(I51&lt;=0,999999,J51/I51)</t>
  </si>
  <si>
    <t>=IF($D$8="Sorted by Amount",K52-(ROW(K52)/100000),M52-(ROW(M52)/100000))</t>
  </si>
  <si>
    <t>=RANK(B52,$B$34:$B$55,0)</t>
  </si>
  <si>
    <t>="""NAV Direct"",""CRONUS JetCorp USA"",""23"",""1"",""V100073"""</t>
  </si>
  <si>
    <t>=J52-I52</t>
  </si>
  <si>
    <t>=IF(I52&lt;=0,999999,J52/I52)</t>
  </si>
  <si>
    <t>=IF($D$8="Sorted by Amount",K53-(ROW(K53)/100000),M53-(ROW(M53)/100000))</t>
  </si>
  <si>
    <t>=RANK(B53,$B$34:$B$55,0)</t>
  </si>
  <si>
    <t>="""NAV Direct"",""CRONUS JetCorp USA"",""23"",""1"",""V100077"""</t>
  </si>
  <si>
    <t>=J53-I53</t>
  </si>
  <si>
    <t>=IF(I53&lt;=0,999999,J53/I53)</t>
  </si>
  <si>
    <t>=IF($D$8="Sorted by Amount",K54-(ROW(K54)/100000),M54-(ROW(M54)/100000))</t>
  </si>
  <si>
    <t>=RANK(B54,$B$34:$B$55,0)</t>
  </si>
  <si>
    <t>="""NAV Direct"",""CRONUS JetCorp USA"",""23"",""1"",""V100002"""</t>
  </si>
  <si>
    <t>=J54-I54</t>
  </si>
  <si>
    <t>=IF(I54&lt;=0,999999,J54/I54)</t>
  </si>
  <si>
    <t>=NF($D34,"1 No.")</t>
  </si>
  <si>
    <t>=NF($D35,"1 No.")</t>
  </si>
  <si>
    <t>=NF($D36,"1 No.")</t>
  </si>
  <si>
    <t>=NF($D37,"1 No.")</t>
  </si>
  <si>
    <t>=NF($D38,"1 No.")</t>
  </si>
  <si>
    <t>=NF($D39,"1 No.")</t>
  </si>
  <si>
    <t>=NF($D40,"1 No.")</t>
  </si>
  <si>
    <t>=NF($D41,"1 No.")</t>
  </si>
  <si>
    <t>=NF($D42,"1 No.")</t>
  </si>
  <si>
    <t>=NF($D43,"1 No.")</t>
  </si>
  <si>
    <t>=NF($D44,"1 No.")</t>
  </si>
  <si>
    <t>=NF($D45,"1 No.")</t>
  </si>
  <si>
    <t>=NF($D46,"1 No.")</t>
  </si>
  <si>
    <t>=NF($D47,"1 No.")</t>
  </si>
  <si>
    <t>=NF($D48,"1 No.")</t>
  </si>
  <si>
    <t>=NF($D49,"1 No.")</t>
  </si>
  <si>
    <t>=NF($D50,"1 No.")</t>
  </si>
  <si>
    <t>=NF($D51,"1 No.")</t>
  </si>
  <si>
    <t>=NF($D52,"1 No.")</t>
  </si>
  <si>
    <t>=NF($D53,"1 No.")</t>
  </si>
  <si>
    <t>=NF($D54,"1 No.")</t>
  </si>
  <si>
    <t>=-NL("Sum","25 Vendor Ledger Entry","18 Purchase (LCY)","5 Document Type","Invoice|Credit Memo","4 Posting Date",$I$32,"3 Vendor No.","@@"&amp;$G34)</t>
  </si>
  <si>
    <t>=-NL("Sum","25 Vendor Ledger Entry","18 Purchase (LCY)","5 Document Type","Invoice|Credit Memo","4 Posting Date",$I$32,"3 Vendor No.","@@"&amp;$G35)</t>
  </si>
  <si>
    <t>=-NL("Sum","25 Vendor Ledger Entry","18 Purchase (LCY)","5 Document Type","Invoice|Credit Memo","4 Posting Date",$I$32,"3 Vendor No.","@@"&amp;$G36)</t>
  </si>
  <si>
    <t>=-NL("Sum","25 Vendor Ledger Entry","18 Purchase (LCY)","5 Document Type","Invoice|Credit Memo","4 Posting Date",$I$32,"3 Vendor No.","@@"&amp;$G37)</t>
  </si>
  <si>
    <t>=-NL("Sum","25 Vendor Ledger Entry","18 Purchase (LCY)","5 Document Type","Invoice|Credit Memo","4 Posting Date",$I$32,"3 Vendor No.","@@"&amp;$G38)</t>
  </si>
  <si>
    <t>=-NL("Sum","25 Vendor Ledger Entry","18 Purchase (LCY)","5 Document Type","Invoice|Credit Memo","4 Posting Date",$I$32,"3 Vendor No.","@@"&amp;$G39)</t>
  </si>
  <si>
    <t>=-NL("Sum","25 Vendor Ledger Entry","18 Purchase (LCY)","5 Document Type","Invoice|Credit Memo","4 Posting Date",$I$32,"3 Vendor No.","@@"&amp;$G40)</t>
  </si>
  <si>
    <t>=-NL("Sum","25 Vendor Ledger Entry","18 Purchase (LCY)","5 Document Type","Invoice|Credit Memo","4 Posting Date",$I$32,"3 Vendor No.","@@"&amp;$G41)</t>
  </si>
  <si>
    <t>=-NL("Sum","25 Vendor Ledger Entry","18 Purchase (LCY)","5 Document Type","Invoice|Credit Memo","4 Posting Date",$I$32,"3 Vendor No.","@@"&amp;$G42)</t>
  </si>
  <si>
    <t>=-NL("Sum","25 Vendor Ledger Entry","18 Purchase (LCY)","5 Document Type","Invoice|Credit Memo","4 Posting Date",$I$32,"3 Vendor No.","@@"&amp;$G43)</t>
  </si>
  <si>
    <t>=-NL("Sum","25 Vendor Ledger Entry","18 Purchase (LCY)","5 Document Type","Invoice|Credit Memo","4 Posting Date",$I$32,"3 Vendor No.","@@"&amp;$G44)</t>
  </si>
  <si>
    <t>=-NL("Sum","25 Vendor Ledger Entry","18 Purchase (LCY)","5 Document Type","Invoice|Credit Memo","4 Posting Date",$I$32,"3 Vendor No.","@@"&amp;$G45)</t>
  </si>
  <si>
    <t>=-NL("Sum","25 Vendor Ledger Entry","18 Purchase (LCY)","5 Document Type","Invoice|Credit Memo","4 Posting Date",$I$32,"3 Vendor No.","@@"&amp;$G46)</t>
  </si>
  <si>
    <t>=-NL("Sum","25 Vendor Ledger Entry","18 Purchase (LCY)","5 Document Type","Invoice|Credit Memo","4 Posting Date",$I$32,"3 Vendor No.","@@"&amp;$G47)</t>
  </si>
  <si>
    <t>=-NL("Sum","25 Vendor Ledger Entry","18 Purchase (LCY)","5 Document Type","Invoice|Credit Memo","4 Posting Date",$I$32,"3 Vendor No.","@@"&amp;$G48)</t>
  </si>
  <si>
    <t>=-NL("Sum","25 Vendor Ledger Entry","18 Purchase (LCY)","5 Document Type","Invoice|Credit Memo","4 Posting Date",$I$32,"3 Vendor No.","@@"&amp;$G49)</t>
  </si>
  <si>
    <t>=-NL("Sum","25 Vendor Ledger Entry","18 Purchase (LCY)","5 Document Type","Invoice|Credit Memo","4 Posting Date",$I$32,"3 Vendor No.","@@"&amp;$G50)</t>
  </si>
  <si>
    <t>=-NL("Sum","25 Vendor Ledger Entry","18 Purchase (LCY)","5 Document Type","Invoice|Credit Memo","4 Posting Date",$I$32,"3 Vendor No.","@@"&amp;$G51)</t>
  </si>
  <si>
    <t>=-NL("Sum","25 Vendor Ledger Entry","18 Purchase (LCY)","5 Document Type","Invoice|Credit Memo","4 Posting Date",$I$32,"3 Vendor No.","@@"&amp;$G52)</t>
  </si>
  <si>
    <t>=-NL("Sum","25 Vendor Ledger Entry","18 Purchase (LCY)","5 Document Type","Invoice|Credit Memo","4 Posting Date",$I$32,"3 Vendor No.","@@"&amp;$G53)</t>
  </si>
  <si>
    <t>=-NL("Sum","25 Vendor Ledger Entry","18 Purchase (LCY)","5 Document Type","Invoice|Credit Memo","4 Posting Date",$I$32,"3 Vendor No.","@@"&amp;$G54)</t>
  </si>
  <si>
    <t>=-NL("Sum","25 Vendor Ledger Entry","18 Purchase (LCY)","5 Document Type","Invoice|Credit Memo","4 Posting Date",$J$32,"3 Vendor No.","@@"&amp;$G34)</t>
  </si>
  <si>
    <t>=-NL("Sum","25 Vendor Ledger Entry","18 Purchase (LCY)","5 Document Type","Invoice|Credit Memo","4 Posting Date",$J$32,"3 Vendor No.","@@"&amp;$G35)</t>
  </si>
  <si>
    <t>=-NL("Sum","25 Vendor Ledger Entry","18 Purchase (LCY)","5 Document Type","Invoice|Credit Memo","4 Posting Date",$J$32,"3 Vendor No.","@@"&amp;$G36)</t>
  </si>
  <si>
    <t>=-NL("Sum","25 Vendor Ledger Entry","18 Purchase (LCY)","5 Document Type","Invoice|Credit Memo","4 Posting Date",$J$32,"3 Vendor No.","@@"&amp;$G37)</t>
  </si>
  <si>
    <t>=-NL("Sum","25 Vendor Ledger Entry","18 Purchase (LCY)","5 Document Type","Invoice|Credit Memo","4 Posting Date",$J$32,"3 Vendor No.","@@"&amp;$G38)</t>
  </si>
  <si>
    <t>=-NL("Sum","25 Vendor Ledger Entry","18 Purchase (LCY)","5 Document Type","Invoice|Credit Memo","4 Posting Date",$J$32,"3 Vendor No.","@@"&amp;$G39)</t>
  </si>
  <si>
    <t>=-NL("Sum","25 Vendor Ledger Entry","18 Purchase (LCY)","5 Document Type","Invoice|Credit Memo","4 Posting Date",$J$32,"3 Vendor No.","@@"&amp;$G40)</t>
  </si>
  <si>
    <t>=-NL("Sum","25 Vendor Ledger Entry","18 Purchase (LCY)","5 Document Type","Invoice|Credit Memo","4 Posting Date",$J$32,"3 Vendor No.","@@"&amp;$G41)</t>
  </si>
  <si>
    <t>=-NL("Sum","25 Vendor Ledger Entry","18 Purchase (LCY)","5 Document Type","Invoice|Credit Memo","4 Posting Date",$J$32,"3 Vendor No.","@@"&amp;$G42)</t>
  </si>
  <si>
    <t>=-NL("Sum","25 Vendor Ledger Entry","18 Purchase (LCY)","5 Document Type","Invoice|Credit Memo","4 Posting Date",$J$32,"3 Vendor No.","@@"&amp;$G43)</t>
  </si>
  <si>
    <t>=-NL("Sum","25 Vendor Ledger Entry","18 Purchase (LCY)","5 Document Type","Invoice|Credit Memo","4 Posting Date",$J$32,"3 Vendor No.","@@"&amp;$G44)</t>
  </si>
  <si>
    <t>=-NL("Sum","25 Vendor Ledger Entry","18 Purchase (LCY)","5 Document Type","Invoice|Credit Memo","4 Posting Date",$J$32,"3 Vendor No.","@@"&amp;$G45)</t>
  </si>
  <si>
    <t>=-NL("Sum","25 Vendor Ledger Entry","18 Purchase (LCY)","5 Document Type","Invoice|Credit Memo","4 Posting Date",$J$32,"3 Vendor No.","@@"&amp;$G46)</t>
  </si>
  <si>
    <t>=-NL("Sum","25 Vendor Ledger Entry","18 Purchase (LCY)","5 Document Type","Invoice|Credit Memo","4 Posting Date",$J$32,"3 Vendor No.","@@"&amp;$G47)</t>
  </si>
  <si>
    <t>=-NL("Sum","25 Vendor Ledger Entry","18 Purchase (LCY)","5 Document Type","Invoice|Credit Memo","4 Posting Date",$J$32,"3 Vendor No.","@@"&amp;$G48)</t>
  </si>
  <si>
    <t>=-NL("Sum","25 Vendor Ledger Entry","18 Purchase (LCY)","5 Document Type","Invoice|Credit Memo","4 Posting Date",$J$32,"3 Vendor No.","@@"&amp;$G49)</t>
  </si>
  <si>
    <t>=-NL("Sum","25 Vendor Ledger Entry","18 Purchase (LCY)","5 Document Type","Invoice|Credit Memo","4 Posting Date",$J$32,"3 Vendor No.","@@"&amp;$G50)</t>
  </si>
  <si>
    <t>=-NL("Sum","25 Vendor Ledger Entry","18 Purchase (LCY)","5 Document Type","Invoice|Credit Memo","4 Posting Date",$J$32,"3 Vendor No.","@@"&amp;$G51)</t>
  </si>
  <si>
    <t>=-NL("Sum","25 Vendor Ledger Entry","18 Purchase (LCY)","5 Document Type","Invoice|Credit Memo","4 Posting Date",$J$32,"3 Vendor No.","@@"&amp;$G52)</t>
  </si>
  <si>
    <t>=-NL("Sum","25 Vendor Ledger Entry","18 Purchase (LCY)","5 Document Type","Invoice|Credit Memo","4 Posting Date",$J$32,"3 Vendor No.","@@"&amp;$G53)</t>
  </si>
  <si>
    <t>=-NL("Sum","25 Vendor Ledger Entry","18 Purchase (LCY)","5 Document Type","Invoice|Credit Memo","4 Posting Date",$J$32,"3 Vendor No.","@@"&amp;$G54)</t>
  </si>
  <si>
    <t>=IF(K15=0,"Hide","Show")</t>
  </si>
  <si>
    <t>=-NL("Sum","25 Vendor Ledger Entry","18 Purchase (LCY)","5 Document Type","Invoice|Credit Memo","Posting Date",$D$4,"3 Vendor No.","@@"&amp;$G15)</t>
  </si>
  <si>
    <t>=-NL("Sum","25 Vendor Ledger Entry","18 Purchase (LCY)","5 Document Type","Invoice|Credit Memo","4 Posting Date",$D$3,"3 Vendor No.","@@"&amp;$G15)</t>
  </si>
  <si>
    <t>=IF(ISERROR(G15),0,IF((J15&gt;I15),0,J15-I15))</t>
  </si>
  <si>
    <t>=-K15</t>
  </si>
  <si>
    <t>=IF(K15=0,0,K15/I15)</t>
  </si>
  <si>
    <t>=-M15</t>
  </si>
  <si>
    <t>=NL("CountUnique","25 Vendor Ledger Entry","6 Document No.","5 Document Type","Invoice","4 Posting Date",$D$4,"3 Vendor No.","@@"&amp;G15)</t>
  </si>
  <si>
    <t>=NL("CountUnique","25 Vendor Ledger Entry","6 Document No.","5 Document Type","Invoice","4 Posting Date",$D$3,"3 Vendor No.","@@"&amp;G15)</t>
  </si>
  <si>
    <t>=IF(K16=0,"Hide","Show")</t>
  </si>
  <si>
    <t>=-NL("Sum","25 Vendor Ledger Entry","18 Purchase (LCY)","5 Document Type","Invoice|Credit Memo","Posting Date",$D$4,"3 Vendor No.","@@"&amp;$G16)</t>
  </si>
  <si>
    <t>=-NL("Sum","25 Vendor Ledger Entry","18 Purchase (LCY)","5 Document Type","Invoice|Credit Memo","4 Posting Date",$D$3,"3 Vendor No.","@@"&amp;$G16)</t>
  </si>
  <si>
    <t>=IF(ISERROR(G16),0,IF((J16&gt;I16),0,J16-I16))</t>
  </si>
  <si>
    <t>=-K16</t>
  </si>
  <si>
    <t>=IF(K16=0,0,K16/I16)</t>
  </si>
  <si>
    <t>=-M16</t>
  </si>
  <si>
    <t>=NL("CountUnique","25 Vendor Ledger Entry","6 Document No.","5 Document Type","Invoice","4 Posting Date",$D$4,"3 Vendor No.","@@"&amp;G16)</t>
  </si>
  <si>
    <t>=NL("CountUnique","25 Vendor Ledger Entry","6 Document No.","5 Document Type","Invoice","4 Posting Date",$D$3,"3 Vendor No.","@@"&amp;G16)</t>
  </si>
  <si>
    <t>=IF(K17=0,"Hide","Show")</t>
  </si>
  <si>
    <t>=-NL("Sum","25 Vendor Ledger Entry","18 Purchase (LCY)","5 Document Type","Invoice|Credit Memo","Posting Date",$D$4,"3 Vendor No.","@@"&amp;$G17)</t>
  </si>
  <si>
    <t>=-NL("Sum","25 Vendor Ledger Entry","18 Purchase (LCY)","5 Document Type","Invoice|Credit Memo","4 Posting Date",$D$3,"3 Vendor No.","@@"&amp;$G17)</t>
  </si>
  <si>
    <t>=IF(ISERROR(G17),0,IF((J17&gt;I17),0,J17-I17))</t>
  </si>
  <si>
    <t>=-K17</t>
  </si>
  <si>
    <t>=IF(K17=0,0,K17/I17)</t>
  </si>
  <si>
    <t>=-M17</t>
  </si>
  <si>
    <t>=NL("CountUnique","25 Vendor Ledger Entry","6 Document No.","5 Document Type","Invoice","4 Posting Date",$D$4,"3 Vendor No.","@@"&amp;G17)</t>
  </si>
  <si>
    <t>=NL("CountUnique","25 Vendor Ledger Entry","6 Document No.","5 Document Type","Invoice","4 Posting Date",$D$3,"3 Vendor No.","@@"&amp;G17)</t>
  </si>
  <si>
    <t>=IF(K18=0,"Hide","Show")</t>
  </si>
  <si>
    <t>=-NL("Sum","25 Vendor Ledger Entry","18 Purchase (LCY)","5 Document Type","Invoice|Credit Memo","Posting Date",$D$4,"3 Vendor No.","@@"&amp;$G18)</t>
  </si>
  <si>
    <t>=-NL("Sum","25 Vendor Ledger Entry","18 Purchase (LCY)","5 Document Type","Invoice|Credit Memo","4 Posting Date",$D$3,"3 Vendor No.","@@"&amp;$G18)</t>
  </si>
  <si>
    <t>=IF(ISERROR(G18),0,IF((J18&gt;I18),0,J18-I18))</t>
  </si>
  <si>
    <t>=-K18</t>
  </si>
  <si>
    <t>=IF(K18=0,0,K18/I18)</t>
  </si>
  <si>
    <t>=-M18</t>
  </si>
  <si>
    <t>=NL("CountUnique","25 Vendor Ledger Entry","6 Document No.","5 Document Type","Invoice","4 Posting Date",$D$4,"3 Vendor No.","@@"&amp;G18)</t>
  </si>
  <si>
    <t>=NL("CountUnique","25 Vendor Ledger Entry","6 Document No.","5 Document Type","Invoice","4 Posting Date",$D$3,"3 Vendor No.","@@"&amp;G18)</t>
  </si>
  <si>
    <t>=IF(K19=0,"Hide","Show")</t>
  </si>
  <si>
    <t>=-NL("Sum","25 Vendor Ledger Entry","18 Purchase (LCY)","5 Document Type","Invoice|Credit Memo","Posting Date",$D$4,"3 Vendor No.","@@"&amp;$G19)</t>
  </si>
  <si>
    <t>=-NL("Sum","25 Vendor Ledger Entry","18 Purchase (LCY)","5 Document Type","Invoice|Credit Memo","4 Posting Date",$D$3,"3 Vendor No.","@@"&amp;$G19)</t>
  </si>
  <si>
    <t>=IF(ISERROR(G19),0,IF((J19&gt;I19),0,J19-I19))</t>
  </si>
  <si>
    <t>=-K19</t>
  </si>
  <si>
    <t>=IF(K19=0,0,K19/I19)</t>
  </si>
  <si>
    <t>=-M19</t>
  </si>
  <si>
    <t>=NL("CountUnique","25 Vendor Ledger Entry","6 Document No.","5 Document Type","Invoice","4 Posting Date",$D$4,"3 Vendor No.","@@"&amp;G19)</t>
  </si>
  <si>
    <t>=NL("CountUnique","25 Vendor Ledger Entry","6 Document No.","5 Document Type","Invoice","4 Posting Date",$D$3,"3 Vendor No.","@@"&amp;G19)</t>
  </si>
  <si>
    <t>=IF(K20=0,"Hide","Show")</t>
  </si>
  <si>
    <t>=-NL("Sum","25 Vendor Ledger Entry","18 Purchase (LCY)","5 Document Type","Invoice|Credit Memo","Posting Date",$D$4,"3 Vendor No.","@@"&amp;$G20)</t>
  </si>
  <si>
    <t>=-NL("Sum","25 Vendor Ledger Entry","18 Purchase (LCY)","5 Document Type","Invoice|Credit Memo","4 Posting Date",$D$3,"3 Vendor No.","@@"&amp;$G20)</t>
  </si>
  <si>
    <t>=IF(ISERROR(G20),0,IF((J20&gt;I20),0,J20-I20))</t>
  </si>
  <si>
    <t>=-K20</t>
  </si>
  <si>
    <t>=IF(K20=0,0,K20/I20)</t>
  </si>
  <si>
    <t>=-M20</t>
  </si>
  <si>
    <t>=NL("CountUnique","25 Vendor Ledger Entry","6 Document No.","5 Document Type","Invoice","4 Posting Date",$D$4,"3 Vendor No.","@@"&amp;G20)</t>
  </si>
  <si>
    <t>=NL("CountUnique","25 Vendor Ledger Entry","6 Document No.","5 Document Type","Invoice","4 Posting Date",$D$3,"3 Vendor No.","@@"&amp;G20)</t>
  </si>
  <si>
    <t>=IF(K21=0,"Hide","Show")</t>
  </si>
  <si>
    <t>=-NL("Sum","25 Vendor Ledger Entry","18 Purchase (LCY)","5 Document Type","Invoice|Credit Memo","Posting Date",$D$4,"3 Vendor No.","@@"&amp;$G21)</t>
  </si>
  <si>
    <t>=-NL("Sum","25 Vendor Ledger Entry","18 Purchase (LCY)","5 Document Type","Invoice|Credit Memo","4 Posting Date",$D$3,"3 Vendor No.","@@"&amp;$G21)</t>
  </si>
  <si>
    <t>=IF(ISERROR(G21),0,IF((J21&gt;I21),0,J21-I21))</t>
  </si>
  <si>
    <t>=-K21</t>
  </si>
  <si>
    <t>=IF(K21=0,0,K21/I21)</t>
  </si>
  <si>
    <t>=-M21</t>
  </si>
  <si>
    <t>=NL("CountUnique","25 Vendor Ledger Entry","6 Document No.","5 Document Type","Invoice","4 Posting Date",$D$4,"3 Vendor No.","@@"&amp;G21)</t>
  </si>
  <si>
    <t>=NL("CountUnique","25 Vendor Ledger Entry","6 Document No.","5 Document Type","Invoice","4 Posting Date",$D$3,"3 Vendor No.","@@"&amp;G21)</t>
  </si>
  <si>
    <t>=IF(K22=0,"Hide","Show")</t>
  </si>
  <si>
    <t>=-NL("Sum","25 Vendor Ledger Entry","18 Purchase (LCY)","5 Document Type","Invoice|Credit Memo","Posting Date",$D$4,"3 Vendor No.","@@"&amp;$G22)</t>
  </si>
  <si>
    <t>=-NL("Sum","25 Vendor Ledger Entry","18 Purchase (LCY)","5 Document Type","Invoice|Credit Memo","4 Posting Date",$D$3,"3 Vendor No.","@@"&amp;$G22)</t>
  </si>
  <si>
    <t>=IF(ISERROR(G22),0,IF((J22&gt;I22),0,J22-I22))</t>
  </si>
  <si>
    <t>=-K22</t>
  </si>
  <si>
    <t>=IF(K22=0,0,K22/I22)</t>
  </si>
  <si>
    <t>=-M22</t>
  </si>
  <si>
    <t>=NL("CountUnique","25 Vendor Ledger Entry","6 Document No.","5 Document Type","Invoice","4 Posting Date",$D$4,"3 Vendor No.","@@"&amp;G22)</t>
  </si>
  <si>
    <t>=NL("CountUnique","25 Vendor Ledger Entry","6 Document No.","5 Document Type","Invoice","4 Posting Date",$D$3,"3 Vendor No.","@@"&amp;G22)</t>
  </si>
  <si>
    <t>=IF(K23=0,"Hide","Show")</t>
  </si>
  <si>
    <t>=-NL("Sum","25 Vendor Ledger Entry","18 Purchase (LCY)","5 Document Type","Invoice|Credit Memo","Posting Date",$D$4,"3 Vendor No.","@@"&amp;$G23)</t>
  </si>
  <si>
    <t>=-NL("Sum","25 Vendor Ledger Entry","18 Purchase (LCY)","5 Document Type","Invoice|Credit Memo","4 Posting Date",$D$3,"3 Vendor No.","@@"&amp;$G23)</t>
  </si>
  <si>
    <t>=IF(ISERROR(G23),0,IF((J23&gt;I23),0,J23-I23))</t>
  </si>
  <si>
    <t>=-K23</t>
  </si>
  <si>
    <t>=IF(K23=0,0,K23/I23)</t>
  </si>
  <si>
    <t>=-M23</t>
  </si>
  <si>
    <t>=NL("CountUnique","25 Vendor Ledger Entry","6 Document No.","5 Document Type","Invoice","4 Posting Date",$D$4,"3 Vendor No.","@@"&amp;G23)</t>
  </si>
  <si>
    <t>=NL("CountUnique","25 Vendor Ledger Entry","6 Document No.","5 Document Type","Invoice","4 Posting Date",$D$3,"3 Vendor No.","@@"&amp;G23)</t>
  </si>
  <si>
    <t>=I34-J34</t>
  </si>
  <si>
    <t>=IF(I34&lt;=0,999999,K34/I34)</t>
  </si>
  <si>
    <t>=I35-J35</t>
  </si>
  <si>
    <t>=IF(I35&lt;=0,999999,K35/I35)</t>
  </si>
  <si>
    <t>=I36-J36</t>
  </si>
  <si>
    <t>=IF(I36&lt;=0,999999,K36/I36)</t>
  </si>
  <si>
    <t>=I37-J37</t>
  </si>
  <si>
    <t>=IF(I37&lt;=0,999999,K37/I37)</t>
  </si>
  <si>
    <t>=I38-J38</t>
  </si>
  <si>
    <t>=IF(I38&lt;=0,999999,K38/I38)</t>
  </si>
  <si>
    <t>=I39-J39</t>
  </si>
  <si>
    <t>=IF(I39&lt;=0,999999,K39/I39)</t>
  </si>
  <si>
    <t>=I40-J40</t>
  </si>
  <si>
    <t>=IF(I40&lt;=0,999999,K40/I40)</t>
  </si>
  <si>
    <t>=I41-J41</t>
  </si>
  <si>
    <t>=IF(I41&lt;=0,999999,K41/I41)</t>
  </si>
  <si>
    <t>=I42-J42</t>
  </si>
  <si>
    <t>=IF(I42&lt;=0,999999,K42/I42)</t>
  </si>
  <si>
    <t>=I43-J43</t>
  </si>
  <si>
    <t>=IF(I43&lt;=0,999999,K43/I43)</t>
  </si>
  <si>
    <t>=I44-J44</t>
  </si>
  <si>
    <t>=IF(I44&lt;=0,999999,K44/I44)</t>
  </si>
  <si>
    <t>=I45-J45</t>
  </si>
  <si>
    <t>=IF(I45&lt;=0,999999,K45/I45)</t>
  </si>
  <si>
    <t>=I46-J46</t>
  </si>
  <si>
    <t>=IF(I46&lt;=0,999999,K46/I46)</t>
  </si>
  <si>
    <t>=I47-J47</t>
  </si>
  <si>
    <t>=IF(I47&lt;=0,999999,K47/I47)</t>
  </si>
  <si>
    <t>=I48-J48</t>
  </si>
  <si>
    <t>=IF(I48&lt;=0,999999,K48/I48)</t>
  </si>
  <si>
    <t>=I49-J49</t>
  </si>
  <si>
    <t>=IF(I49&lt;=0,999999,K49/I49)</t>
  </si>
  <si>
    <t>=I50-J50</t>
  </si>
  <si>
    <t>=IF(I50&lt;=0,999999,K50/I50)</t>
  </si>
  <si>
    <t>=I51-J51</t>
  </si>
  <si>
    <t>=IF(I51&lt;=0,999999,K51/I51)</t>
  </si>
  <si>
    <t>=I52-J52</t>
  </si>
  <si>
    <t>=IF(I52&lt;=0,999999,K52/I52)</t>
  </si>
  <si>
    <t>=I53-J53</t>
  </si>
  <si>
    <t>=IF(I53&lt;=0,999999,K53/I53)</t>
  </si>
  <si>
    <t>=I54-J54</t>
  </si>
  <si>
    <t>=IF(I54&lt;=0,999999,K54/I54)</t>
  </si>
  <si>
    <t>=-NL("Sum","25 Vendor Ledger Entry","18 Purchase (LCY)","5 Document Type","Invoice|Credit Memo","4 Posting Date",$D$4,"3 Vendor No.","@@"&amp;$G34)</t>
  </si>
  <si>
    <t>=-NL("Sum","25 Vendor Ledger Entry","18 Purchase (LCY)","5 Document Type","Invoice|Credit Memo","4 Posting Date",$D$4,"3 Vendor No.","@@"&amp;$G35)</t>
  </si>
  <si>
    <t>=-NL("Sum","25 Vendor Ledger Entry","18 Purchase (LCY)","5 Document Type","Invoice|Credit Memo","4 Posting Date",$D$4,"3 Vendor No.","@@"&amp;$G36)</t>
  </si>
  <si>
    <t>=-NL("Sum","25 Vendor Ledger Entry","18 Purchase (LCY)","5 Document Type","Invoice|Credit Memo","4 Posting Date",$D$4,"3 Vendor No.","@@"&amp;$G37)</t>
  </si>
  <si>
    <t>=-NL("Sum","25 Vendor Ledger Entry","18 Purchase (LCY)","5 Document Type","Invoice|Credit Memo","4 Posting Date",$D$4,"3 Vendor No.","@@"&amp;$G38)</t>
  </si>
  <si>
    <t>=-NL("Sum","25 Vendor Ledger Entry","18 Purchase (LCY)","5 Document Type","Invoice|Credit Memo","4 Posting Date",$D$4,"3 Vendor No.","@@"&amp;$G39)</t>
  </si>
  <si>
    <t>=-NL("Sum","25 Vendor Ledger Entry","18 Purchase (LCY)","5 Document Type","Invoice|Credit Memo","4 Posting Date",$D$4,"3 Vendor No.","@@"&amp;$G40)</t>
  </si>
  <si>
    <t>=-NL("Sum","25 Vendor Ledger Entry","18 Purchase (LCY)","5 Document Type","Invoice|Credit Memo","4 Posting Date",$D$4,"3 Vendor No.","@@"&amp;$G41)</t>
  </si>
  <si>
    <t>=-NL("Sum","25 Vendor Ledger Entry","18 Purchase (LCY)","5 Document Type","Invoice|Credit Memo","4 Posting Date",$D$4,"3 Vendor No.","@@"&amp;$G42)</t>
  </si>
  <si>
    <t>=-NL("Sum","25 Vendor Ledger Entry","18 Purchase (LCY)","5 Document Type","Invoice|Credit Memo","4 Posting Date",$D$4,"3 Vendor No.","@@"&amp;$G43)</t>
  </si>
  <si>
    <t>=-NL("Sum","25 Vendor Ledger Entry","18 Purchase (LCY)","5 Document Type","Invoice|Credit Memo","4 Posting Date",$D$4,"3 Vendor No.","@@"&amp;$G44)</t>
  </si>
  <si>
    <t>=-NL("Sum","25 Vendor Ledger Entry","18 Purchase (LCY)","5 Document Type","Invoice|Credit Memo","4 Posting Date",$D$4,"3 Vendor No.","@@"&amp;$G45)</t>
  </si>
  <si>
    <t>=-NL("Sum","25 Vendor Ledger Entry","18 Purchase (LCY)","5 Document Type","Invoice|Credit Memo","4 Posting Date",$D$4,"3 Vendor No.","@@"&amp;$G46)</t>
  </si>
  <si>
    <t>=-NL("Sum","25 Vendor Ledger Entry","18 Purchase (LCY)","5 Document Type","Invoice|Credit Memo","4 Posting Date",$D$4,"3 Vendor No.","@@"&amp;$G47)</t>
  </si>
  <si>
    <t>=-NL("Sum","25 Vendor Ledger Entry","18 Purchase (LCY)","5 Document Type","Invoice|Credit Memo","4 Posting Date",$D$4,"3 Vendor No.","@@"&amp;$G48)</t>
  </si>
  <si>
    <t>=-NL("Sum","25 Vendor Ledger Entry","18 Purchase (LCY)","5 Document Type","Invoice|Credit Memo","4 Posting Date",$D$4,"3 Vendor No.","@@"&amp;$G49)</t>
  </si>
  <si>
    <t>=-NL("Sum","25 Vendor Ledger Entry","18 Purchase (LCY)","5 Document Type","Invoice|Credit Memo","4 Posting Date",$D$4,"3 Vendor No.","@@"&amp;$G50)</t>
  </si>
  <si>
    <t>=-NL("Sum","25 Vendor Ledger Entry","18 Purchase (LCY)","5 Document Type","Invoice|Credit Memo","4 Posting Date",$D$4,"3 Vendor No.","@@"&amp;$G51)</t>
  </si>
  <si>
    <t>=-NL("Sum","25 Vendor Ledger Entry","18 Purchase (LCY)","5 Document Type","Invoice|Credit Memo","4 Posting Date",$D$4,"3 Vendor No.","@@"&amp;$G52)</t>
  </si>
  <si>
    <t>=-NL("Sum","25 Vendor Ledger Entry","18 Purchase (LCY)","5 Document Type","Invoice|Credit Memo","4 Posting Date",$D$4,"3 Vendor No.","@@"&amp;$G53)</t>
  </si>
  <si>
    <t>=-NL("Sum","25 Vendor Ledger Entry","18 Purchase (LCY)","5 Document Type","Invoice|Credit Memo","4 Posting Date",$D$4,"3 Vendor No.","@@"&amp;$G54)</t>
  </si>
  <si>
    <t>=-NL("Sum","25 Vendor Ledger Entry","18 Purchase (LCY)","5 Document Type","Invoice|Credit Memo","4 Posting Date",$D$3,"3 Vendor No.","@@"&amp;$G34)</t>
  </si>
  <si>
    <t>=-NL("Sum","25 Vendor Ledger Entry","18 Purchase (LCY)","5 Document Type","Invoice|Credit Memo","4 Posting Date",$D$3,"3 Vendor No.","@@"&amp;$G35)</t>
  </si>
  <si>
    <t>=-NL("Sum","25 Vendor Ledger Entry","18 Purchase (LCY)","5 Document Type","Invoice|Credit Memo","4 Posting Date",$D$3,"3 Vendor No.","@@"&amp;$G36)</t>
  </si>
  <si>
    <t>=-NL("Sum","25 Vendor Ledger Entry","18 Purchase (LCY)","5 Document Type","Invoice|Credit Memo","4 Posting Date",$D$3,"3 Vendor No.","@@"&amp;$G37)</t>
  </si>
  <si>
    <t>=-NL("Sum","25 Vendor Ledger Entry","18 Purchase (LCY)","5 Document Type","Invoice|Credit Memo","4 Posting Date",$D$3,"3 Vendor No.","@@"&amp;$G38)</t>
  </si>
  <si>
    <t>=-NL("Sum","25 Vendor Ledger Entry","18 Purchase (LCY)","5 Document Type","Invoice|Credit Memo","4 Posting Date",$D$3,"3 Vendor No.","@@"&amp;$G39)</t>
  </si>
  <si>
    <t>=-NL("Sum","25 Vendor Ledger Entry","18 Purchase (LCY)","5 Document Type","Invoice|Credit Memo","4 Posting Date",$D$3,"3 Vendor No.","@@"&amp;$G40)</t>
  </si>
  <si>
    <t>=-NL("Sum","25 Vendor Ledger Entry","18 Purchase (LCY)","5 Document Type","Invoice|Credit Memo","4 Posting Date",$D$3,"3 Vendor No.","@@"&amp;$G41)</t>
  </si>
  <si>
    <t>=-NL("Sum","25 Vendor Ledger Entry","18 Purchase (LCY)","5 Document Type","Invoice|Credit Memo","4 Posting Date",$D$3,"3 Vendor No.","@@"&amp;$G42)</t>
  </si>
  <si>
    <t>=-NL("Sum","25 Vendor Ledger Entry","18 Purchase (LCY)","5 Document Type","Invoice|Credit Memo","4 Posting Date",$D$3,"3 Vendor No.","@@"&amp;$G43)</t>
  </si>
  <si>
    <t>=-NL("Sum","25 Vendor Ledger Entry","18 Purchase (LCY)","5 Document Type","Invoice|Credit Memo","4 Posting Date",$D$3,"3 Vendor No.","@@"&amp;$G44)</t>
  </si>
  <si>
    <t>=-NL("Sum","25 Vendor Ledger Entry","18 Purchase (LCY)","5 Document Type","Invoice|Credit Memo","4 Posting Date",$D$3,"3 Vendor No.","@@"&amp;$G45)</t>
  </si>
  <si>
    <t>=-NL("Sum","25 Vendor Ledger Entry","18 Purchase (LCY)","5 Document Type","Invoice|Credit Memo","4 Posting Date",$D$3,"3 Vendor No.","@@"&amp;$G46)</t>
  </si>
  <si>
    <t>=-NL("Sum","25 Vendor Ledger Entry","18 Purchase (LCY)","5 Document Type","Invoice|Credit Memo","4 Posting Date",$D$3,"3 Vendor No.","@@"&amp;$G47)</t>
  </si>
  <si>
    <t>=-NL("Sum","25 Vendor Ledger Entry","18 Purchase (LCY)","5 Document Type","Invoice|Credit Memo","4 Posting Date",$D$3,"3 Vendor No.","@@"&amp;$G48)</t>
  </si>
  <si>
    <t>=-NL("Sum","25 Vendor Ledger Entry","18 Purchase (LCY)","5 Document Type","Invoice|Credit Memo","4 Posting Date",$D$3,"3 Vendor No.","@@"&amp;$G49)</t>
  </si>
  <si>
    <t>=-NL("Sum","25 Vendor Ledger Entry","18 Purchase (LCY)","5 Document Type","Invoice|Credit Memo","4 Posting Date",$D$3,"3 Vendor No.","@@"&amp;$G50)</t>
  </si>
  <si>
    <t>=-NL("Sum","25 Vendor Ledger Entry","18 Purchase (LCY)","5 Document Type","Invoice|Credit Memo","4 Posting Date",$D$3,"3 Vendor No.","@@"&amp;$G51)</t>
  </si>
  <si>
    <t>=-NL("Sum","25 Vendor Ledger Entry","18 Purchase (LCY)","5 Document Type","Invoice|Credit Memo","4 Posting Date",$D$3,"3 Vendor No.","@@"&amp;$G52)</t>
  </si>
  <si>
    <t>=-NL("Sum","25 Vendor Ledger Entry","18 Purchase (LCY)","5 Document Type","Invoice|Credit Memo","4 Posting Date",$D$3,"3 Vendor No.","@@"&amp;$G53)</t>
  </si>
  <si>
    <t>=-NL("Sum","25 Vendor Ledger Entry","18 Purchase (LCY)","5 Document Type","Invoice|Credit Memo","4 Posting Date",$D$3,"3 Vendor No.","@@"&amp;$G54)</t>
  </si>
  <si>
    <t>Auto+Hide+Hidesheet+Formulas=Sheet1,Sheet2+FormulasOnly</t>
  </si>
  <si>
    <t>Auto+Hide+Values+Formulas=Sheet3,Sheet4+FormulasOnly</t>
  </si>
  <si>
    <t>Auto+Hide+Values+Formulas=Sheet5,Sheet6+FormulasOnly</t>
  </si>
  <si>
    <t>Auto+Hide+Hidesheet+Formulas=Sheet7,Sheet1,Sheet2</t>
  </si>
  <si>
    <t>Auto+Hide+Hidesheet+Formulas=Sheet7,Sheet1,Sheet2+FormulasOnly</t>
  </si>
  <si>
    <t>Auto+Hide+Values+Formulas=Sheet8,Sheet3,Sheet4</t>
  </si>
  <si>
    <t>Auto+Hide+Values+Formulas=Sheet8,Sheet3,Sheet4+FormulasOnly</t>
  </si>
  <si>
    <t>Auto+Hide+Values+Formulas=Sheet9,Sheet5,Sheet6</t>
  </si>
  <si>
    <t>Auto+Hide+Values+Formulas=Sheet9,Sheet5,Sheet6+FormulasOnly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</si>
</sst>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1" formatCode="_(* #,##0_);_(* \(#,##0\);_(* &quot;-&quot;_);_(@_)"/>
    <numFmt numFmtId="164" formatCode="_-* #,##0.00\ _€_-;\-* #,##0.00\ _€_-;_-* &quot;-&quot;??\ _€_-;_-@_-"/>
    <numFmt numFmtId="165" formatCode="_-* #,##0.0\ _€_-;\-* #,##0.0\ _€_-;_-* &quot;-&quot;??\ _€_-;_-@_-"/>
    <numFmt numFmtId="166" formatCode="_-* #,##0\ _€_-;\-* #,##0\ _€_-;_-* &quot;-&quot;??\ _€_-;_-@_-"/>
    <numFmt numFmtId="167" formatCode="0%;\(0%\)__"/>
    <numFmt numFmtId="168" formatCode="_(* #,##0_);_(* \(#,##0\);_(* &quot;-&quot;??_);_(@_)"/>
    <numFmt numFmtId="169" formatCode="m/d/yyyy\ h:mm\ \ AM/PM"/>
    <numFmt numFmtId="170" formatCode="0%\ __;\(0%\)\ ___;\-"/>
    <numFmt numFmtId="171" formatCode="0%\ __;\(0%\)\ __;\-"/>
    <numFmt numFmtId="172" formatCode="#,##0;\(#,##0\);\-"/>
  </numFmts>
  <fonts count="31" x14ac:knownFonts="1">
    <font>
      <sz val="11"/>
      <color theme="1"/>
      <name val="Calibri"/>
      <family val="2"/>
      <scheme val="minor"/>
    </font>
    <font>
      <sz val="11"/>
      <color theme="1"/>
      <name val="Calibri"/>
      <family val="2"/>
      <scheme val="minor"/>
    </font>
    <font>
      <b/>
      <sz val="11"/>
      <color theme="3"/>
      <name val="Calibri"/>
      <family val="2"/>
      <scheme val="minor"/>
    </font>
    <font>
      <sz val="14"/>
      <color theme="3"/>
      <name val="Arial"/>
      <family val="2"/>
    </font>
    <font>
      <sz val="11"/>
      <color theme="3"/>
      <name val="Calibri"/>
      <family val="2"/>
      <scheme val="minor"/>
    </font>
    <font>
      <sz val="11"/>
      <color theme="0" tint="-0.499984740745262"/>
      <name val="Calibri"/>
      <family val="2"/>
      <scheme val="minor"/>
    </font>
    <font>
      <sz val="11"/>
      <color rgb="FF00B050"/>
      <name val="Calibri"/>
      <family val="2"/>
      <scheme val="minor"/>
    </font>
    <font>
      <b/>
      <sz val="16"/>
      <color theme="3"/>
      <name val="Calibri"/>
      <family val="2"/>
      <scheme val="minor"/>
    </font>
    <font>
      <sz val="10"/>
      <name val="Arial"/>
      <family val="2"/>
    </font>
    <font>
      <u/>
      <sz val="10"/>
      <color indexed="12"/>
      <name val="Arial"/>
      <family val="2"/>
    </font>
    <font>
      <u/>
      <sz val="11"/>
      <color theme="0" tint="-0.499984740745262"/>
      <name val="Calibri"/>
      <family val="2"/>
      <scheme val="minor"/>
    </font>
    <font>
      <i/>
      <sz val="14"/>
      <color theme="6" tint="-0.499984740745262"/>
      <name val="Arial"/>
      <family val="2"/>
    </font>
    <font>
      <sz val="12"/>
      <color theme="0" tint="-0.499984740745262"/>
      <name val="Calibri"/>
      <family val="2"/>
      <scheme val="minor"/>
    </font>
    <font>
      <b/>
      <sz val="16"/>
      <color theme="3"/>
      <name val="Segoe UI Semibold"/>
      <family val="2"/>
    </font>
    <font>
      <sz val="11"/>
      <color theme="1"/>
      <name val="Segoe UI Semibold"/>
      <family val="2"/>
    </font>
    <font>
      <b/>
      <sz val="14"/>
      <color theme="3"/>
      <name val="Segoe UI Semibold"/>
      <family val="2"/>
    </font>
    <font>
      <b/>
      <sz val="12"/>
      <color theme="3"/>
      <name val="Segoe UI Semibold"/>
      <family val="2"/>
    </font>
    <font>
      <b/>
      <sz val="14"/>
      <color theme="1"/>
      <name val="Segoe UI Semibold"/>
      <family val="2"/>
    </font>
    <font>
      <sz val="14"/>
      <color theme="3"/>
      <name val="Segoe UI Semibold"/>
      <family val="2"/>
    </font>
    <font>
      <sz val="11"/>
      <color theme="3"/>
      <name val="Segoe UI Semibold"/>
      <family val="2"/>
    </font>
    <font>
      <b/>
      <sz val="20"/>
      <color theme="3"/>
      <name val="Segoe UI Semibold"/>
      <family val="2"/>
    </font>
    <font>
      <b/>
      <sz val="16"/>
      <color theme="3"/>
      <name val="Segoe UI"/>
      <family val="2"/>
    </font>
    <font>
      <b/>
      <sz val="11"/>
      <color theme="3"/>
      <name val="Segoe UI"/>
      <family val="2"/>
    </font>
    <font>
      <b/>
      <sz val="12"/>
      <color theme="3"/>
      <name val="Segoe UI"/>
      <family val="2"/>
    </font>
    <font>
      <sz val="10"/>
      <name val="Segoe UI"/>
      <family val="2"/>
    </font>
    <font>
      <u/>
      <sz val="10"/>
      <color indexed="12"/>
      <name val="Segoe UI"/>
      <family val="2"/>
    </font>
    <font>
      <sz val="11"/>
      <color indexed="8"/>
      <name val="Calibri"/>
      <family val="2"/>
    </font>
    <font>
      <b/>
      <sz val="20"/>
      <color rgb="FFDA4848"/>
      <name val="Segoe UI"/>
      <family val="2"/>
    </font>
    <font>
      <sz val="10"/>
      <color theme="1"/>
      <name val="Segoe UI"/>
      <family val="2"/>
    </font>
    <font>
      <b/>
      <sz val="10"/>
      <color theme="1"/>
      <name val="Segoe UI"/>
      <family val="2"/>
    </font>
    <font>
      <u/>
      <sz val="10"/>
      <name val="Segoe UI"/>
      <family val="2"/>
    </font>
  </fonts>
  <fills count="9">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s>
  <borders count="27">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applyNumberFormat="0" applyFill="0" applyBorder="0" applyAlignment="0" applyProtection="0">
      <alignment vertical="top"/>
      <protection locked="0"/>
    </xf>
    <xf numFmtId="0" fontId="8" fillId="0" borderId="0"/>
    <xf numFmtId="0" fontId="26" fillId="0" borderId="0"/>
    <xf numFmtId="0" fontId="9" fillId="0" borderId="0" applyNumberFormat="0" applyFill="0" applyBorder="0" applyAlignment="0" applyProtection="0">
      <alignment vertical="top"/>
      <protection locked="0"/>
    </xf>
  </cellStyleXfs>
  <cellXfs count="169">
    <xf numFmtId="0" fontId="0" fillId="0" borderId="0" xfId="0"/>
    <xf numFmtId="165" fontId="0" fillId="0" borderId="0" xfId="1" applyNumberFormat="1" applyFont="1"/>
    <xf numFmtId="0" fontId="3" fillId="0" borderId="0" xfId="0" applyFont="1" applyBorder="1" applyAlignment="1">
      <alignment horizontal="left"/>
    </xf>
    <xf numFmtId="22" fontId="4" fillId="0" borderId="0" xfId="0" applyNumberFormat="1" applyFont="1" applyBorder="1"/>
    <xf numFmtId="0" fontId="0" fillId="0" borderId="0" xfId="0" applyFill="1"/>
    <xf numFmtId="0" fontId="2" fillId="0" borderId="0" xfId="0" applyFont="1" applyFill="1" applyAlignment="1">
      <alignment horizontal="left"/>
    </xf>
    <xf numFmtId="166" fontId="2" fillId="0" borderId="0" xfId="1" applyNumberFormat="1" applyFont="1" applyFill="1"/>
    <xf numFmtId="0" fontId="0" fillId="0" borderId="0" xfId="0" applyBorder="1"/>
    <xf numFmtId="0" fontId="0" fillId="0" borderId="0" xfId="0" applyFill="1" applyBorder="1"/>
    <xf numFmtId="0" fontId="5" fillId="3" borderId="0" xfId="0" applyFont="1" applyFill="1"/>
    <xf numFmtId="165" fontId="5" fillId="3" borderId="0" xfId="1" applyNumberFormat="1" applyFont="1" applyFill="1"/>
    <xf numFmtId="14" fontId="5" fillId="3" borderId="0" xfId="0" applyNumberFormat="1" applyFont="1" applyFill="1" applyAlignment="1">
      <alignment horizontal="right"/>
    </xf>
    <xf numFmtId="0" fontId="5" fillId="3" borderId="0" xfId="0" applyNumberFormat="1" applyFont="1" applyFill="1" applyAlignment="1">
      <alignment horizontal="right"/>
    </xf>
    <xf numFmtId="41" fontId="0" fillId="0" borderId="0" xfId="1" applyNumberFormat="1" applyFont="1" applyBorder="1" applyAlignment="1">
      <alignment horizontal="right"/>
    </xf>
    <xf numFmtId="167" fontId="0" fillId="0" borderId="0" xfId="2" applyNumberFormat="1" applyFont="1" applyBorder="1" applyAlignment="1">
      <alignment horizontal="right"/>
    </xf>
    <xf numFmtId="0" fontId="5" fillId="3" borderId="0" xfId="0" applyFont="1" applyFill="1" applyBorder="1"/>
    <xf numFmtId="14" fontId="5" fillId="3" borderId="0" xfId="0" applyNumberFormat="1" applyFont="1" applyFill="1" applyBorder="1"/>
    <xf numFmtId="0" fontId="2" fillId="0" borderId="0" xfId="0" applyFont="1" applyFill="1" applyBorder="1" applyAlignment="1">
      <alignment horizontal="left"/>
    </xf>
    <xf numFmtId="168" fontId="5" fillId="3" borderId="0" xfId="0" applyNumberFormat="1" applyFont="1" applyFill="1"/>
    <xf numFmtId="0" fontId="0" fillId="0" borderId="2" xfId="0" applyBorder="1" applyAlignment="1">
      <alignment horizontal="left"/>
    </xf>
    <xf numFmtId="0" fontId="0" fillId="0" borderId="6" xfId="0" applyBorder="1"/>
    <xf numFmtId="0" fontId="0" fillId="0" borderId="12" xfId="0" applyBorder="1"/>
    <xf numFmtId="37" fontId="0" fillId="0" borderId="0" xfId="1" applyNumberFormat="1" applyFont="1" applyBorder="1"/>
    <xf numFmtId="37" fontId="0" fillId="0" borderId="0" xfId="1" applyNumberFormat="1" applyFont="1" applyBorder="1" applyAlignment="1">
      <alignment horizontal="right"/>
    </xf>
    <xf numFmtId="41" fontId="0" fillId="0" borderId="14" xfId="1" applyNumberFormat="1" applyFont="1" applyBorder="1" applyAlignment="1">
      <alignment horizontal="right"/>
    </xf>
    <xf numFmtId="0" fontId="0" fillId="0" borderId="7" xfId="0" applyBorder="1"/>
    <xf numFmtId="0" fontId="0" fillId="0" borderId="5" xfId="0" applyBorder="1"/>
    <xf numFmtId="165" fontId="0" fillId="0" borderId="6" xfId="1" applyNumberFormat="1" applyFont="1" applyBorder="1"/>
    <xf numFmtId="0" fontId="2" fillId="4" borderId="3" xfId="0" applyFont="1" applyFill="1" applyBorder="1" applyAlignment="1">
      <alignment wrapText="1"/>
    </xf>
    <xf numFmtId="0" fontId="2" fillId="4" borderId="4" xfId="0" applyFont="1" applyFill="1" applyBorder="1" applyAlignment="1">
      <alignment wrapText="1"/>
    </xf>
    <xf numFmtId="0" fontId="2" fillId="4" borderId="4" xfId="0" applyFont="1" applyFill="1" applyBorder="1" applyAlignment="1">
      <alignment horizontal="right" wrapText="1"/>
    </xf>
    <xf numFmtId="0" fontId="2" fillId="4" borderId="13" xfId="0" applyFont="1" applyFill="1" applyBorder="1" applyAlignment="1">
      <alignment horizontal="right" wrapText="1"/>
    </xf>
    <xf numFmtId="0" fontId="2" fillId="4" borderId="5" xfId="0" applyFont="1" applyFill="1" applyBorder="1" applyAlignment="1">
      <alignment wrapText="1"/>
    </xf>
    <xf numFmtId="0" fontId="2" fillId="4" borderId="11" xfId="0" applyFont="1" applyFill="1" applyBorder="1" applyAlignment="1">
      <alignment wrapText="1"/>
    </xf>
    <xf numFmtId="14" fontId="2" fillId="4" borderId="6" xfId="0" applyNumberFormat="1" applyFont="1" applyFill="1" applyBorder="1" applyAlignment="1">
      <alignment horizontal="right" wrapText="1"/>
    </xf>
    <xf numFmtId="0" fontId="2" fillId="5" borderId="3" xfId="0" applyFont="1" applyFill="1" applyBorder="1" applyAlignment="1">
      <alignment wrapText="1"/>
    </xf>
    <xf numFmtId="0" fontId="2" fillId="5" borderId="4" xfId="0" applyFont="1" applyFill="1" applyBorder="1" applyAlignment="1">
      <alignment wrapText="1"/>
    </xf>
    <xf numFmtId="0" fontId="2" fillId="5" borderId="4" xfId="0" applyFont="1" applyFill="1" applyBorder="1" applyAlignment="1">
      <alignment horizontal="right" wrapText="1"/>
    </xf>
    <xf numFmtId="0" fontId="2" fillId="5" borderId="13" xfId="0" applyFont="1" applyFill="1" applyBorder="1" applyAlignment="1">
      <alignment horizontal="right" wrapText="1"/>
    </xf>
    <xf numFmtId="0" fontId="2" fillId="5" borderId="5" xfId="0" applyFont="1" applyFill="1" applyBorder="1" applyAlignment="1">
      <alignment wrapText="1"/>
    </xf>
    <xf numFmtId="0" fontId="2" fillId="5" borderId="11" xfId="0" applyFont="1" applyFill="1" applyBorder="1" applyAlignment="1">
      <alignment wrapText="1"/>
    </xf>
    <xf numFmtId="14" fontId="2" fillId="5" borderId="6" xfId="0" applyNumberFormat="1" applyFont="1" applyFill="1" applyBorder="1" applyAlignment="1">
      <alignment horizontal="right" wrapText="1"/>
    </xf>
    <xf numFmtId="0" fontId="6" fillId="0" borderId="0" xfId="0" applyFont="1" applyBorder="1" applyAlignment="1">
      <alignment horizontal="center"/>
    </xf>
    <xf numFmtId="14" fontId="2" fillId="5" borderId="11" xfId="0" applyNumberFormat="1" applyFont="1" applyFill="1" applyBorder="1" applyAlignment="1">
      <alignment horizontal="right" wrapText="1"/>
    </xf>
    <xf numFmtId="14" fontId="2" fillId="4" borderId="11" xfId="0" applyNumberFormat="1" applyFont="1" applyFill="1" applyBorder="1" applyAlignment="1">
      <alignment horizontal="right" wrapText="1"/>
    </xf>
    <xf numFmtId="37" fontId="5" fillId="3" borderId="0" xfId="0" applyNumberFormat="1" applyFont="1" applyFill="1"/>
    <xf numFmtId="37" fontId="5" fillId="7" borderId="16" xfId="0" applyNumberFormat="1" applyFont="1" applyFill="1" applyBorder="1"/>
    <xf numFmtId="0" fontId="11" fillId="0" borderId="0" xfId="0" applyFont="1" applyBorder="1" applyAlignment="1">
      <alignment horizontal="left"/>
    </xf>
    <xf numFmtId="0" fontId="0" fillId="0" borderId="15" xfId="0" applyBorder="1"/>
    <xf numFmtId="14" fontId="0" fillId="0" borderId="0" xfId="0" applyNumberFormat="1" applyBorder="1"/>
    <xf numFmtId="6" fontId="0" fillId="0" borderId="0" xfId="0" applyNumberFormat="1" applyBorder="1"/>
    <xf numFmtId="0" fontId="0" fillId="0" borderId="19" xfId="0" applyBorder="1"/>
    <xf numFmtId="0" fontId="0" fillId="0" borderId="20" xfId="0" applyBorder="1"/>
    <xf numFmtId="0" fontId="0" fillId="0" borderId="1" xfId="0" applyNumberFormat="1" applyBorder="1"/>
    <xf numFmtId="0" fontId="5" fillId="3" borderId="0" xfId="0" applyFont="1" applyFill="1" applyAlignment="1">
      <alignment vertical="top"/>
    </xf>
    <xf numFmtId="0" fontId="0" fillId="0" borderId="0" xfId="0" applyFill="1" applyAlignment="1">
      <alignment vertical="top"/>
    </xf>
    <xf numFmtId="0" fontId="10" fillId="3" borderId="0" xfId="0" applyFont="1" applyFill="1" applyAlignment="1">
      <alignment vertical="top"/>
    </xf>
    <xf numFmtId="0" fontId="10" fillId="3" borderId="0" xfId="0" applyFont="1" applyFill="1" applyAlignment="1">
      <alignment horizontal="right" vertical="top"/>
    </xf>
    <xf numFmtId="172" fontId="0" fillId="0" borderId="0" xfId="1" applyNumberFormat="1" applyFont="1" applyBorder="1" applyAlignment="1">
      <alignment horizontal="right" indent="6"/>
    </xf>
    <xf numFmtId="172" fontId="0" fillId="0" borderId="12" xfId="1" applyNumberFormat="1" applyFont="1" applyBorder="1" applyAlignment="1">
      <alignment horizontal="right" indent="6"/>
    </xf>
    <xf numFmtId="0" fontId="0" fillId="0" borderId="0" xfId="0" applyNumberFormat="1" applyBorder="1"/>
    <xf numFmtId="165" fontId="14" fillId="0" borderId="0" xfId="1" applyNumberFormat="1" applyFont="1"/>
    <xf numFmtId="0" fontId="14" fillId="0" borderId="0" xfId="0" applyFont="1"/>
    <xf numFmtId="0" fontId="14" fillId="0" borderId="0" xfId="0" applyFont="1" applyFill="1"/>
    <xf numFmtId="0" fontId="13" fillId="0" borderId="0" xfId="0" applyFont="1" applyAlignment="1">
      <alignment horizontal="left"/>
    </xf>
    <xf numFmtId="14" fontId="16" fillId="0" borderId="0" xfId="0" applyNumberFormat="1" applyFont="1" applyAlignment="1"/>
    <xf numFmtId="169" fontId="16" fillId="0" borderId="0" xfId="0" applyNumberFormat="1" applyFont="1" applyAlignment="1">
      <alignment horizontal="right"/>
    </xf>
    <xf numFmtId="0" fontId="14" fillId="0" borderId="25" xfId="0" applyFont="1" applyFill="1" applyBorder="1" applyAlignment="1">
      <alignment horizontal="center"/>
    </xf>
    <xf numFmtId="0" fontId="14" fillId="0" borderId="0" xfId="0" applyFont="1" applyBorder="1" applyAlignment="1">
      <alignment horizontal="right" indent="2"/>
    </xf>
    <xf numFmtId="0" fontId="14" fillId="0" borderId="12" xfId="0" applyFont="1" applyBorder="1"/>
    <xf numFmtId="172" fontId="14" fillId="0" borderId="0" xfId="1" applyNumberFormat="1" applyFont="1" applyBorder="1" applyAlignment="1">
      <alignment horizontal="right" indent="6"/>
    </xf>
    <xf numFmtId="172" fontId="14" fillId="0" borderId="12" xfId="1" applyNumberFormat="1" applyFont="1" applyBorder="1" applyAlignment="1">
      <alignment horizontal="right" indent="6"/>
    </xf>
    <xf numFmtId="41" fontId="14" fillId="0" borderId="0" xfId="1" applyNumberFormat="1" applyFont="1" applyBorder="1" applyAlignment="1">
      <alignment horizontal="right"/>
    </xf>
    <xf numFmtId="41" fontId="14" fillId="0" borderId="12" xfId="2" applyNumberFormat="1" applyFont="1" applyBorder="1" applyAlignment="1">
      <alignment horizontal="right"/>
    </xf>
    <xf numFmtId="170" fontId="14" fillId="0" borderId="0" xfId="2" applyNumberFormat="1" applyFont="1" applyBorder="1" applyAlignment="1">
      <alignment horizontal="left"/>
    </xf>
    <xf numFmtId="9" fontId="14" fillId="0" borderId="12" xfId="2" applyFont="1" applyBorder="1" applyAlignment="1">
      <alignment horizontal="right"/>
    </xf>
    <xf numFmtId="41" fontId="14" fillId="0" borderId="12" xfId="1" applyNumberFormat="1" applyFont="1" applyBorder="1" applyAlignment="1">
      <alignment horizontal="center"/>
    </xf>
    <xf numFmtId="41" fontId="14" fillId="0" borderId="0" xfId="1" applyNumberFormat="1" applyFont="1" applyBorder="1"/>
    <xf numFmtId="41" fontId="14" fillId="0" borderId="14" xfId="1" applyNumberFormat="1" applyFont="1" applyBorder="1" applyAlignment="1">
      <alignment horizontal="center"/>
    </xf>
    <xf numFmtId="0" fontId="14" fillId="0" borderId="26" xfId="0" applyFont="1" applyFill="1" applyBorder="1"/>
    <xf numFmtId="0" fontId="18" fillId="0" borderId="6" xfId="0" applyFont="1" applyBorder="1" applyAlignment="1">
      <alignment horizontal="left"/>
    </xf>
    <xf numFmtId="0" fontId="18" fillId="0" borderId="11" xfId="0" applyFont="1" applyBorder="1" applyAlignment="1">
      <alignment horizontal="left"/>
    </xf>
    <xf numFmtId="37" fontId="19" fillId="0" borderId="6" xfId="0" applyNumberFormat="1" applyFont="1" applyBorder="1"/>
    <xf numFmtId="37" fontId="19" fillId="0" borderId="11" xfId="0" applyNumberFormat="1" applyFont="1" applyBorder="1"/>
    <xf numFmtId="37" fontId="14" fillId="0" borderId="6" xfId="1" applyNumberFormat="1" applyFont="1" applyBorder="1" applyAlignment="1">
      <alignment horizontal="right"/>
    </xf>
    <xf numFmtId="41" fontId="14" fillId="0" borderId="11" xfId="1" applyNumberFormat="1" applyFont="1" applyBorder="1" applyAlignment="1">
      <alignment horizontal="right"/>
    </xf>
    <xf numFmtId="167" fontId="14" fillId="0" borderId="6" xfId="2" applyNumberFormat="1" applyFont="1" applyBorder="1" applyAlignment="1">
      <alignment horizontal="right"/>
    </xf>
    <xf numFmtId="9" fontId="14" fillId="0" borderId="11" xfId="2" applyFont="1" applyBorder="1" applyAlignment="1">
      <alignment horizontal="right"/>
    </xf>
    <xf numFmtId="37" fontId="19" fillId="0" borderId="9" xfId="0" applyNumberFormat="1" applyFont="1" applyBorder="1"/>
    <xf numFmtId="37" fontId="19" fillId="0" borderId="11" xfId="0" applyNumberFormat="1" applyFont="1" applyBorder="1" applyAlignment="1">
      <alignment horizontal="center"/>
    </xf>
    <xf numFmtId="41" fontId="14" fillId="0" borderId="7" xfId="1" applyNumberFormat="1" applyFont="1" applyBorder="1" applyAlignment="1">
      <alignment horizontal="center"/>
    </xf>
    <xf numFmtId="0" fontId="14" fillId="0" borderId="0" xfId="0" applyFont="1" applyFill="1" applyBorder="1"/>
    <xf numFmtId="0" fontId="18" fillId="0" borderId="0" xfId="0" applyFont="1" applyBorder="1" applyAlignment="1">
      <alignment horizontal="left"/>
    </xf>
    <xf numFmtId="22" fontId="19" fillId="0" borderId="0" xfId="0" applyNumberFormat="1" applyFont="1" applyBorder="1"/>
    <xf numFmtId="0" fontId="14" fillId="0" borderId="0" xfId="0" applyFont="1" applyBorder="1"/>
    <xf numFmtId="0" fontId="14" fillId="0" borderId="0" xfId="0" applyFont="1" applyFill="1" applyAlignment="1">
      <alignment vertical="top"/>
    </xf>
    <xf numFmtId="0" fontId="14" fillId="0" borderId="2" xfId="0" applyFont="1" applyBorder="1" applyAlignment="1">
      <alignment horizontal="right" indent="2"/>
    </xf>
    <xf numFmtId="41" fontId="14" fillId="0" borderId="15" xfId="1" applyNumberFormat="1" applyFont="1" applyBorder="1" applyAlignment="1">
      <alignment horizontal="right"/>
    </xf>
    <xf numFmtId="41" fontId="14" fillId="0" borderId="12" xfId="1" applyNumberFormat="1" applyFont="1" applyBorder="1" applyAlignment="1">
      <alignment horizontal="right"/>
    </xf>
    <xf numFmtId="171" fontId="14" fillId="0" borderId="0" xfId="2" applyNumberFormat="1" applyFont="1" applyBorder="1" applyAlignment="1">
      <alignment horizontal="right" indent="1"/>
    </xf>
    <xf numFmtId="167" fontId="14" fillId="0" borderId="12" xfId="1" applyNumberFormat="1" applyFont="1" applyBorder="1" applyAlignment="1">
      <alignment horizontal="right"/>
    </xf>
    <xf numFmtId="0" fontId="18" fillId="0" borderId="5" xfId="0" applyFont="1" applyBorder="1" applyAlignment="1">
      <alignment horizontal="left"/>
    </xf>
    <xf numFmtId="22" fontId="19" fillId="0" borderId="9" xfId="0" applyNumberFormat="1" applyFont="1" applyBorder="1"/>
    <xf numFmtId="0" fontId="14" fillId="0" borderId="11" xfId="0" applyFont="1" applyBorder="1"/>
    <xf numFmtId="0" fontId="14" fillId="0" borderId="6" xfId="0" applyFont="1" applyBorder="1"/>
    <xf numFmtId="0" fontId="21" fillId="8" borderId="13" xfId="0" applyFont="1" applyFill="1" applyBorder="1" applyAlignment="1">
      <alignment horizontal="center" vertical="top" wrapText="1"/>
    </xf>
    <xf numFmtId="14" fontId="21" fillId="8" borderId="7" xfId="0" applyNumberFormat="1" applyFont="1" applyFill="1" applyBorder="1" applyAlignment="1">
      <alignment horizontal="right" vertical="top" wrapText="1"/>
    </xf>
    <xf numFmtId="0" fontId="21" fillId="4" borderId="13" xfId="0" applyFont="1" applyFill="1" applyBorder="1" applyAlignment="1">
      <alignment horizontal="center" vertical="top" wrapText="1"/>
    </xf>
    <xf numFmtId="14" fontId="22" fillId="4" borderId="6" xfId="0" applyNumberFormat="1" applyFont="1" applyFill="1" applyBorder="1" applyAlignment="1">
      <alignment horizontal="right" vertical="top" wrapText="1"/>
    </xf>
    <xf numFmtId="14" fontId="22" fillId="4" borderId="11" xfId="0" applyNumberFormat="1" applyFont="1" applyFill="1" applyBorder="1" applyAlignment="1">
      <alignment horizontal="right" vertical="top" wrapText="1"/>
    </xf>
    <xf numFmtId="14" fontId="22" fillId="4" borderId="9" xfId="0" applyNumberFormat="1" applyFont="1" applyFill="1" applyBorder="1" applyAlignment="1">
      <alignment horizontal="right" vertical="top" wrapText="1"/>
    </xf>
    <xf numFmtId="14" fontId="22" fillId="4" borderId="7" xfId="0" applyNumberFormat="1" applyFont="1" applyFill="1" applyBorder="1" applyAlignment="1">
      <alignment horizontal="right" vertical="top" wrapText="1"/>
    </xf>
    <xf numFmtId="14" fontId="23" fillId="8" borderId="6" xfId="0" applyNumberFormat="1" applyFont="1" applyFill="1" applyBorder="1" applyAlignment="1">
      <alignment horizontal="right" vertical="top" wrapText="1"/>
    </xf>
    <xf numFmtId="14" fontId="23" fillId="8" borderId="11" xfId="0" applyNumberFormat="1" applyFont="1" applyFill="1" applyBorder="1" applyAlignment="1">
      <alignment horizontal="right" vertical="top" wrapText="1"/>
    </xf>
    <xf numFmtId="14" fontId="23" fillId="8" borderId="9" xfId="0" applyNumberFormat="1" applyFont="1" applyFill="1" applyBorder="1" applyAlignment="1">
      <alignment horizontal="right" vertical="top" wrapText="1"/>
    </xf>
    <xf numFmtId="0" fontId="26" fillId="0" borderId="0" xfId="6"/>
    <xf numFmtId="14" fontId="16" fillId="0" borderId="0" xfId="0" applyNumberFormat="1" applyFont="1" applyFill="1" applyBorder="1"/>
    <xf numFmtId="166" fontId="16" fillId="0" borderId="0" xfId="0" applyNumberFormat="1" applyFont="1" applyFill="1" applyBorder="1"/>
    <xf numFmtId="0" fontId="24" fillId="6" borderId="0" xfId="5" applyFont="1" applyFill="1" applyBorder="1" applyAlignment="1">
      <alignment vertical="top" wrapText="1"/>
    </xf>
    <xf numFmtId="169" fontId="16" fillId="0" borderId="0" xfId="0" applyNumberFormat="1" applyFont="1" applyAlignment="1">
      <alignment horizontal="right"/>
    </xf>
    <xf numFmtId="0" fontId="25" fillId="0" borderId="0" xfId="4" applyFont="1" applyAlignment="1" applyProtection="1">
      <alignment vertical="top"/>
    </xf>
    <xf numFmtId="0" fontId="28" fillId="0" borderId="0" xfId="0" applyFont="1" applyAlignment="1">
      <alignment vertical="top"/>
    </xf>
    <xf numFmtId="0" fontId="28" fillId="0" borderId="0" xfId="0" applyFont="1" applyAlignment="1">
      <alignment vertical="top" wrapText="1"/>
    </xf>
    <xf numFmtId="0" fontId="28" fillId="0" borderId="0" xfId="0" applyFont="1"/>
    <xf numFmtId="0" fontId="27" fillId="0" borderId="0" xfId="0" applyFont="1" applyAlignment="1">
      <alignment vertical="top"/>
    </xf>
    <xf numFmtId="0" fontId="29" fillId="0" borderId="0" xfId="0" applyFont="1" applyAlignment="1">
      <alignment vertical="top"/>
    </xf>
    <xf numFmtId="0" fontId="0" fillId="0" borderId="0" xfId="0" quotePrefix="1"/>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2" fillId="5" borderId="9" xfId="0" applyFont="1" applyFill="1" applyBorder="1" applyAlignment="1">
      <alignment horizontal="center" wrapText="1"/>
    </xf>
    <xf numFmtId="0" fontId="2" fillId="5" borderId="6" xfId="0" applyFont="1" applyFill="1" applyBorder="1" applyAlignment="1">
      <alignment horizontal="center" wrapText="1"/>
    </xf>
    <xf numFmtId="169" fontId="16" fillId="0" borderId="0" xfId="0" applyNumberFormat="1" applyFont="1" applyFill="1" applyBorder="1" applyAlignment="1">
      <alignment horizontal="right"/>
    </xf>
    <xf numFmtId="0" fontId="21" fillId="8" borderId="10" xfId="0" applyFont="1" applyFill="1" applyBorder="1" applyAlignment="1">
      <alignment horizontal="center" vertical="top" wrapText="1"/>
    </xf>
    <xf numFmtId="0" fontId="21" fillId="8" borderId="11" xfId="0" applyFont="1" applyFill="1" applyBorder="1" applyAlignment="1">
      <alignment horizontal="center" vertical="top" wrapText="1"/>
    </xf>
    <xf numFmtId="169" fontId="17" fillId="0" borderId="0" xfId="0" applyNumberFormat="1" applyFont="1" applyBorder="1" applyAlignment="1">
      <alignment horizontal="right"/>
    </xf>
    <xf numFmtId="0" fontId="21" fillId="8" borderId="8" xfId="0" applyFont="1" applyFill="1" applyBorder="1" applyAlignment="1">
      <alignment horizontal="center" vertical="top" wrapText="1"/>
    </xf>
    <xf numFmtId="0" fontId="7" fillId="5" borderId="8" xfId="0" applyFont="1" applyFill="1" applyBorder="1" applyAlignment="1">
      <alignment horizontal="center" wrapText="1"/>
    </xf>
    <xf numFmtId="0" fontId="7" fillId="5" borderId="10" xfId="0" applyFont="1" applyFill="1" applyBorder="1" applyAlignment="1">
      <alignment horizontal="center" wrapText="1"/>
    </xf>
    <xf numFmtId="0" fontId="16" fillId="0" borderId="0" xfId="0" applyFont="1" applyAlignment="1">
      <alignment horizontal="left"/>
    </xf>
    <xf numFmtId="0" fontId="11" fillId="0" borderId="0" xfId="0" applyFont="1" applyBorder="1" applyAlignment="1">
      <alignment horizontal="left"/>
    </xf>
    <xf numFmtId="0" fontId="21" fillId="8" borderId="9" xfId="0" applyFont="1" applyFill="1" applyBorder="1" applyAlignment="1">
      <alignment horizontal="center" vertical="top" wrapText="1"/>
    </xf>
    <xf numFmtId="0" fontId="21" fillId="8" borderId="4" xfId="0" applyFont="1" applyFill="1" applyBorder="1" applyAlignment="1">
      <alignment horizontal="center" vertical="top" wrapText="1"/>
    </xf>
    <xf numFmtId="0" fontId="21" fillId="8" borderId="6" xfId="0" applyFont="1" applyFill="1" applyBorder="1" applyAlignment="1">
      <alignment horizontal="center" vertical="top" wrapText="1"/>
    </xf>
    <xf numFmtId="0" fontId="2" fillId="5" borderId="7" xfId="0" applyFont="1" applyFill="1" applyBorder="1" applyAlignment="1">
      <alignment horizontal="center" wrapText="1"/>
    </xf>
    <xf numFmtId="0" fontId="21" fillId="8" borderId="24" xfId="0" applyFont="1" applyFill="1" applyBorder="1" applyAlignment="1">
      <alignment horizontal="center" vertical="top" wrapText="1"/>
    </xf>
    <xf numFmtId="0" fontId="21" fillId="8" borderId="26" xfId="0" applyFont="1" applyFill="1" applyBorder="1" applyAlignment="1">
      <alignment horizontal="center" vertical="top" wrapText="1"/>
    </xf>
    <xf numFmtId="0" fontId="20" fillId="0" borderId="0" xfId="0" applyFont="1" applyFill="1" applyBorder="1" applyAlignment="1">
      <alignment horizontal="left" wrapText="1"/>
    </xf>
    <xf numFmtId="0" fontId="15" fillId="0" borderId="0" xfId="0" applyFont="1" applyFill="1" applyBorder="1" applyAlignment="1">
      <alignment horizontal="left"/>
    </xf>
    <xf numFmtId="14" fontId="16" fillId="0" borderId="0" xfId="0" applyNumberFormat="1" applyFont="1" applyFill="1" applyBorder="1" applyAlignment="1">
      <alignment horizontal="left"/>
    </xf>
    <xf numFmtId="0" fontId="12" fillId="3" borderId="17" xfId="0" applyFont="1" applyFill="1" applyBorder="1" applyAlignment="1">
      <alignment horizontal="center" wrapText="1"/>
    </xf>
    <xf numFmtId="0" fontId="12" fillId="3" borderId="18" xfId="0" applyFont="1" applyFill="1" applyBorder="1" applyAlignment="1">
      <alignment horizontal="center" wrapText="1"/>
    </xf>
    <xf numFmtId="0" fontId="12" fillId="3" borderId="15" xfId="0" applyFont="1" applyFill="1" applyBorder="1" applyAlignment="1">
      <alignment horizontal="center" wrapText="1"/>
    </xf>
    <xf numFmtId="0" fontId="12" fillId="3" borderId="12" xfId="0" applyFont="1" applyFill="1" applyBorder="1" applyAlignment="1">
      <alignment horizontal="center" wrapText="1"/>
    </xf>
    <xf numFmtId="0" fontId="12" fillId="3" borderId="19" xfId="0" applyFont="1" applyFill="1" applyBorder="1" applyAlignment="1">
      <alignment horizontal="center" wrapText="1"/>
    </xf>
    <xf numFmtId="0" fontId="12" fillId="3" borderId="20" xfId="0" applyFont="1" applyFill="1" applyBorder="1" applyAlignment="1">
      <alignment horizontal="center" wrapText="1"/>
    </xf>
    <xf numFmtId="0" fontId="21" fillId="4" borderId="10" xfId="0" applyFont="1" applyFill="1" applyBorder="1" applyAlignment="1">
      <alignment horizontal="center" vertical="top" wrapText="1"/>
    </xf>
    <xf numFmtId="0" fontId="21" fillId="4" borderId="11" xfId="0" applyFont="1" applyFill="1" applyBorder="1" applyAlignment="1">
      <alignment horizontal="center" vertical="top" wrapText="1"/>
    </xf>
    <xf numFmtId="0" fontId="21" fillId="4" borderId="8" xfId="0" applyFont="1" applyFill="1" applyBorder="1" applyAlignment="1">
      <alignment horizontal="center" vertical="top" wrapText="1"/>
    </xf>
    <xf numFmtId="0" fontId="21" fillId="4" borderId="9" xfId="0" applyFont="1" applyFill="1" applyBorder="1" applyAlignment="1">
      <alignment horizontal="center" vertical="top" wrapText="1"/>
    </xf>
    <xf numFmtId="0" fontId="2" fillId="4" borderId="9" xfId="0" applyFont="1" applyFill="1" applyBorder="1" applyAlignment="1">
      <alignment horizontal="center" wrapText="1"/>
    </xf>
    <xf numFmtId="0" fontId="2" fillId="4" borderId="6" xfId="0" applyFont="1" applyFill="1" applyBorder="1" applyAlignment="1">
      <alignment horizontal="center" wrapText="1"/>
    </xf>
    <xf numFmtId="0" fontId="2" fillId="4" borderId="7" xfId="0" applyFont="1" applyFill="1" applyBorder="1" applyAlignment="1">
      <alignment horizontal="center" wrapText="1"/>
    </xf>
    <xf numFmtId="0" fontId="7" fillId="4" borderId="8" xfId="0" applyFont="1" applyFill="1" applyBorder="1" applyAlignment="1">
      <alignment horizontal="center" wrapText="1"/>
    </xf>
    <xf numFmtId="0" fontId="7" fillId="4" borderId="10" xfId="0" applyFont="1" applyFill="1" applyBorder="1" applyAlignment="1">
      <alignment horizontal="center" wrapText="1"/>
    </xf>
    <xf numFmtId="0" fontId="21" fillId="4" borderId="4" xfId="0" applyFont="1" applyFill="1" applyBorder="1" applyAlignment="1">
      <alignment horizontal="center" vertical="top" wrapText="1"/>
    </xf>
    <xf numFmtId="0" fontId="21" fillId="4" borderId="6" xfId="0" applyFont="1" applyFill="1" applyBorder="1" applyAlignment="1">
      <alignment horizontal="center" vertical="top" wrapText="1"/>
    </xf>
    <xf numFmtId="0" fontId="21" fillId="4" borderId="24" xfId="0" applyFont="1" applyFill="1" applyBorder="1" applyAlignment="1">
      <alignment horizontal="center" vertical="top" wrapText="1"/>
    </xf>
    <xf numFmtId="0" fontId="21" fillId="4" borderId="26" xfId="0" applyFont="1" applyFill="1" applyBorder="1" applyAlignment="1">
      <alignment horizontal="center" vertical="top" wrapText="1"/>
    </xf>
  </cellXfs>
  <cellStyles count="8">
    <cellStyle name="Comma" xfId="1" builtinId="3"/>
    <cellStyle name="Hyperlink" xfId="4" builtinId="8"/>
    <cellStyle name="Hyperlink 3" xfId="7"/>
    <cellStyle name="Normal" xfId="0" builtinId="0"/>
    <cellStyle name="Normal 2" xfId="3"/>
    <cellStyle name="Normal 2 4" xfId="5"/>
    <cellStyle name="Normal 3" xfId="6"/>
    <cellStyle name="Percent" xfId="2" builtinId="5"/>
  </cellStyles>
  <dxfs count="0"/>
  <tableStyles count="0" defaultTableStyle="TableStyleMedium9" defaultPivotStyle="PivotStyleLight16"/>
  <colors>
    <mruColors>
      <color rgb="FFDA48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4679950</xdr:colOff>
      <xdr:row>3</xdr:row>
      <xdr:rowOff>92075</xdr:rowOff>
    </xdr:from>
    <xdr:to>
      <xdr:col>7</xdr:col>
      <xdr:colOff>374650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8425" y="635000"/>
          <a:ext cx="2743200" cy="483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574006</xdr:colOff>
      <xdr:row>87</xdr:row>
      <xdr:rowOff>117809</xdr:rowOff>
    </xdr:from>
    <xdr:to>
      <xdr:col>1</xdr:col>
      <xdr:colOff>621631</xdr:colOff>
      <xdr:row>89</xdr:row>
      <xdr:rowOff>46371</xdr:rowOff>
    </xdr:to>
    <xdr:cxnSp macro="">
      <xdr:nvCxnSpPr>
        <xdr:cNvPr id="4" name="Straight Arrow Connector 3"/>
        <xdr:cNvCxnSpPr/>
      </xdr:nvCxnSpPr>
      <xdr:spPr>
        <a:xfrm flipH="1" flipV="1">
          <a:off x="1338513" y="5782677"/>
          <a:ext cx="47625" cy="3170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184</xdr:row>
      <xdr:rowOff>87732</xdr:rowOff>
    </xdr:from>
    <xdr:to>
      <xdr:col>2</xdr:col>
      <xdr:colOff>10027</xdr:colOff>
      <xdr:row>185</xdr:row>
      <xdr:rowOff>166688</xdr:rowOff>
    </xdr:to>
    <xdr:cxnSp macro="">
      <xdr:nvCxnSpPr>
        <xdr:cNvPr id="3" name="Straight Arrow Connector 2"/>
        <xdr:cNvCxnSpPr/>
      </xdr:nvCxnSpPr>
      <xdr:spPr>
        <a:xfrm flipH="1" flipV="1">
          <a:off x="1478882" y="5877929"/>
          <a:ext cx="47625" cy="2794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tabSelected="1" topLeftCell="B2" workbookViewId="0"/>
  </sheetViews>
  <sheetFormatPr defaultColWidth="9.140625" defaultRowHeight="14.25" x14ac:dyDescent="0.25"/>
  <cols>
    <col min="1" max="1" width="4.42578125" style="123" hidden="1" customWidth="1"/>
    <col min="2" max="2" width="9.140625" style="123"/>
    <col min="3" max="3" width="32" style="121" bestFit="1" customWidth="1"/>
    <col min="4" max="4" width="77.28515625" style="122" customWidth="1"/>
    <col min="5" max="5" width="10.140625" style="121" customWidth="1"/>
    <col min="6" max="16384" width="9.140625" style="123"/>
  </cols>
  <sheetData>
    <row r="1" spans="1:5" ht="14.25" hidden="1" customHeight="1" x14ac:dyDescent="0.25">
      <c r="A1" s="123" t="s">
        <v>20</v>
      </c>
    </row>
    <row r="7" spans="1:5" ht="30.75" x14ac:dyDescent="0.25">
      <c r="C7" s="124" t="s">
        <v>22</v>
      </c>
    </row>
    <row r="9" spans="1:5" ht="128.25" x14ac:dyDescent="0.25">
      <c r="C9" s="125" t="s">
        <v>23</v>
      </c>
      <c r="D9" s="122" t="s">
        <v>51</v>
      </c>
    </row>
    <row r="10" spans="1:5" x14ac:dyDescent="0.25">
      <c r="C10" s="125"/>
    </row>
    <row r="11" spans="1:5" ht="99.75" x14ac:dyDescent="0.25">
      <c r="C11" s="125" t="s">
        <v>64</v>
      </c>
      <c r="D11" s="122" t="s">
        <v>55</v>
      </c>
    </row>
    <row r="12" spans="1:5" x14ac:dyDescent="0.25">
      <c r="C12" s="125"/>
    </row>
    <row r="13" spans="1:5" x14ac:dyDescent="0.25">
      <c r="C13" s="125" t="s">
        <v>63</v>
      </c>
      <c r="D13" s="118" t="s">
        <v>71</v>
      </c>
    </row>
    <row r="14" spans="1:5" x14ac:dyDescent="0.25">
      <c r="C14" s="125"/>
      <c r="D14" s="118" t="s">
        <v>72</v>
      </c>
    </row>
    <row r="15" spans="1:5" x14ac:dyDescent="0.25">
      <c r="C15" s="125"/>
      <c r="D15" s="118"/>
    </row>
    <row r="16" spans="1:5" ht="45" customHeight="1" x14ac:dyDescent="0.25">
      <c r="C16" s="125" t="s">
        <v>24</v>
      </c>
      <c r="D16" s="122" t="s">
        <v>65</v>
      </c>
      <c r="E16" s="120" t="s">
        <v>50</v>
      </c>
    </row>
    <row r="17" spans="3:5" ht="16.5" customHeight="1" x14ac:dyDescent="0.25">
      <c r="C17" s="125"/>
    </row>
    <row r="18" spans="3:5" ht="28.5" x14ac:dyDescent="0.25">
      <c r="C18" s="125" t="s">
        <v>48</v>
      </c>
      <c r="D18" s="122" t="s">
        <v>56</v>
      </c>
      <c r="E18" s="120" t="s">
        <v>49</v>
      </c>
    </row>
    <row r="19" spans="3:5" x14ac:dyDescent="0.25">
      <c r="C19" s="125"/>
    </row>
    <row r="20" spans="3:5" ht="57" x14ac:dyDescent="0.25">
      <c r="C20" s="125" t="s">
        <v>54</v>
      </c>
      <c r="D20" s="122" t="s">
        <v>66</v>
      </c>
      <c r="E20" s="120" t="s">
        <v>59</v>
      </c>
    </row>
    <row r="21" spans="3:5" x14ac:dyDescent="0.25">
      <c r="C21" s="125"/>
    </row>
    <row r="22" spans="3:5" ht="28.5" x14ac:dyDescent="0.25">
      <c r="C22" s="125" t="s">
        <v>25</v>
      </c>
      <c r="D22" s="122" t="s">
        <v>57</v>
      </c>
      <c r="E22" s="120" t="s">
        <v>60</v>
      </c>
    </row>
    <row r="23" spans="3:5" x14ac:dyDescent="0.25">
      <c r="C23" s="125"/>
    </row>
    <row r="24" spans="3:5" x14ac:dyDescent="0.25">
      <c r="C24" s="125" t="s">
        <v>26</v>
      </c>
      <c r="D24" s="122" t="s">
        <v>67</v>
      </c>
      <c r="E24" s="120" t="s">
        <v>61</v>
      </c>
    </row>
    <row r="25" spans="3:5" x14ac:dyDescent="0.25">
      <c r="C25" s="125"/>
    </row>
    <row r="26" spans="3:5" x14ac:dyDescent="0.25">
      <c r="C26" s="125" t="s">
        <v>27</v>
      </c>
      <c r="D26" s="122" t="s">
        <v>68</v>
      </c>
      <c r="E26" s="120" t="s">
        <v>62</v>
      </c>
    </row>
    <row r="27" spans="3:5" x14ac:dyDescent="0.25">
      <c r="C27" s="125"/>
    </row>
    <row r="28" spans="3:5" ht="71.25" x14ac:dyDescent="0.25">
      <c r="C28" s="125" t="s">
        <v>69</v>
      </c>
      <c r="D28" s="122" t="s">
        <v>70</v>
      </c>
    </row>
    <row r="29" spans="3:5" x14ac:dyDescent="0.25">
      <c r="C29" s="125"/>
    </row>
    <row r="30" spans="3:5" x14ac:dyDescent="0.25">
      <c r="C30" s="125" t="s">
        <v>28</v>
      </c>
      <c r="D30" s="122" t="s">
        <v>58</v>
      </c>
    </row>
  </sheetData>
  <hyperlinks>
    <hyperlink ref="E24" r:id="rId1"/>
    <hyperlink ref="E22" r:id="rId2"/>
    <hyperlink ref="E18" r:id="rId3"/>
    <hyperlink ref="E16" r:id="rId4"/>
    <hyperlink ref="E26" r:id="rId5"/>
    <hyperlink ref="E20" r:id="rId6"/>
  </hyperlinks>
  <pageMargins left="0.25" right="0.25" top="0.75" bottom="0.75" header="0.3" footer="0.3"/>
  <pageSetup scale="63" orientation="portrait" r:id="rId7"/>
  <headerFooter alignWithMargins="0"/>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RowHeight="15" x14ac:dyDescent="0.25"/>
  <sheetData>
    <row r="1" spans="1:19" x14ac:dyDescent="0.25">
      <c r="A1" s="126" t="s">
        <v>626</v>
      </c>
      <c r="B1" s="126" t="s">
        <v>36</v>
      </c>
      <c r="C1" s="126" t="s">
        <v>13</v>
      </c>
      <c r="D1" s="126" t="s">
        <v>13</v>
      </c>
      <c r="F1" s="126" t="s">
        <v>10</v>
      </c>
      <c r="G1" s="126" t="s">
        <v>10</v>
      </c>
      <c r="H1" s="126" t="s">
        <v>10</v>
      </c>
      <c r="K1" s="126" t="s">
        <v>10</v>
      </c>
      <c r="M1" s="126" t="s">
        <v>10</v>
      </c>
      <c r="R1" s="126" t="s">
        <v>2</v>
      </c>
      <c r="S1" s="126" t="s">
        <v>10</v>
      </c>
    </row>
    <row r="2" spans="1:19" x14ac:dyDescent="0.25">
      <c r="A2" s="126" t="s">
        <v>2</v>
      </c>
      <c r="K2" s="126" t="s">
        <v>19</v>
      </c>
      <c r="M2" s="126" t="s">
        <v>19</v>
      </c>
    </row>
    <row r="3" spans="1:19" x14ac:dyDescent="0.25">
      <c r="C3" s="126" t="s">
        <v>11</v>
      </c>
      <c r="D3" s="126" t="s">
        <v>83</v>
      </c>
    </row>
    <row r="4" spans="1:19" x14ac:dyDescent="0.25">
      <c r="C4" s="126" t="s">
        <v>12</v>
      </c>
      <c r="D4" s="126" t="s">
        <v>84</v>
      </c>
      <c r="F4" s="126" t="s">
        <v>43</v>
      </c>
    </row>
    <row r="5" spans="1:19" x14ac:dyDescent="0.25">
      <c r="C5" s="126" t="s">
        <v>30</v>
      </c>
      <c r="D5" s="126" t="s">
        <v>85</v>
      </c>
      <c r="F5" s="126" t="s">
        <v>86</v>
      </c>
    </row>
    <row r="6" spans="1:19" x14ac:dyDescent="0.25">
      <c r="C6" s="126" t="s">
        <v>29</v>
      </c>
      <c r="D6" s="126" t="s">
        <v>87</v>
      </c>
    </row>
    <row r="7" spans="1:19" x14ac:dyDescent="0.25">
      <c r="C7" s="126" t="s">
        <v>34</v>
      </c>
      <c r="D7" s="126" t="s">
        <v>88</v>
      </c>
      <c r="G7" s="126" t="s">
        <v>89</v>
      </c>
      <c r="H7" s="126" t="s">
        <v>90</v>
      </c>
    </row>
    <row r="8" spans="1:19" x14ac:dyDescent="0.25">
      <c r="C8" s="126" t="s">
        <v>6</v>
      </c>
      <c r="D8" s="126" t="s">
        <v>91</v>
      </c>
      <c r="G8" s="126" t="s">
        <v>92</v>
      </c>
      <c r="H8" s="126" t="s">
        <v>93</v>
      </c>
    </row>
    <row r="9" spans="1:19" x14ac:dyDescent="0.25">
      <c r="C9" s="126" t="s">
        <v>45</v>
      </c>
      <c r="D9" s="126" t="s">
        <v>94</v>
      </c>
      <c r="S9" s="126" t="s">
        <v>21</v>
      </c>
    </row>
    <row r="10" spans="1:19" x14ac:dyDescent="0.25">
      <c r="C10" s="126" t="s">
        <v>46</v>
      </c>
      <c r="D10" s="126" t="s">
        <v>95</v>
      </c>
      <c r="F10" s="126" t="s">
        <v>96</v>
      </c>
      <c r="Q10" s="126" t="s">
        <v>97</v>
      </c>
    </row>
    <row r="12" spans="1:19" x14ac:dyDescent="0.25">
      <c r="F12" s="126" t="s">
        <v>40</v>
      </c>
      <c r="G12" s="126" t="s">
        <v>41</v>
      </c>
      <c r="H12" s="126" t="s">
        <v>16</v>
      </c>
      <c r="I12" s="126" t="s">
        <v>15</v>
      </c>
      <c r="K12" s="126" t="s">
        <v>17</v>
      </c>
      <c r="M12" s="126" t="s">
        <v>7</v>
      </c>
      <c r="O12" s="126" t="s">
        <v>42</v>
      </c>
      <c r="Q12" s="126" t="s">
        <v>30</v>
      </c>
      <c r="R12" s="126" t="s">
        <v>37</v>
      </c>
      <c r="S12" s="126" t="s">
        <v>31</v>
      </c>
    </row>
    <row r="13" spans="1:19" x14ac:dyDescent="0.25">
      <c r="B13" s="126" t="s">
        <v>33</v>
      </c>
      <c r="D13" s="126" t="s">
        <v>47</v>
      </c>
      <c r="I13" s="126" t="s">
        <v>126</v>
      </c>
      <c r="J13" s="126" t="s">
        <v>127</v>
      </c>
      <c r="O13" s="126" t="s">
        <v>126</v>
      </c>
      <c r="P13" s="126" t="s">
        <v>127</v>
      </c>
    </row>
    <row r="14" spans="1:19" x14ac:dyDescent="0.25">
      <c r="B14" s="126" t="s">
        <v>128</v>
      </c>
      <c r="D14" s="126" t="s">
        <v>101</v>
      </c>
      <c r="F14" s="126" t="s">
        <v>102</v>
      </c>
      <c r="G14" s="126" t="s">
        <v>103</v>
      </c>
      <c r="H14" s="126" t="s">
        <v>104</v>
      </c>
      <c r="I14" s="126" t="s">
        <v>129</v>
      </c>
      <c r="J14" s="126" t="s">
        <v>130</v>
      </c>
      <c r="K14" s="126" t="s">
        <v>131</v>
      </c>
      <c r="L14" s="126" t="s">
        <v>132</v>
      </c>
      <c r="M14" s="126" t="s">
        <v>133</v>
      </c>
      <c r="N14" s="126" t="s">
        <v>134</v>
      </c>
      <c r="O14" s="126" t="s">
        <v>135</v>
      </c>
      <c r="P14" s="126" t="s">
        <v>136</v>
      </c>
      <c r="Q14" s="126" t="s">
        <v>113</v>
      </c>
      <c r="R14" s="126" t="s">
        <v>114</v>
      </c>
      <c r="S14" s="126" t="s">
        <v>115</v>
      </c>
    </row>
    <row r="17" spans="1:13" x14ac:dyDescent="0.25">
      <c r="G17" s="126" t="s">
        <v>116</v>
      </c>
    </row>
    <row r="21" spans="1:13" x14ac:dyDescent="0.25">
      <c r="A21" s="126" t="s">
        <v>2</v>
      </c>
      <c r="G21" s="126" t="s">
        <v>137</v>
      </c>
    </row>
    <row r="22" spans="1:13" x14ac:dyDescent="0.25">
      <c r="A22" s="126" t="s">
        <v>2</v>
      </c>
      <c r="I22" s="126" t="s">
        <v>15</v>
      </c>
    </row>
    <row r="23" spans="1:13" x14ac:dyDescent="0.25">
      <c r="A23" s="126" t="s">
        <v>2</v>
      </c>
      <c r="G23" s="126" t="s">
        <v>14</v>
      </c>
      <c r="I23" s="126" t="s">
        <v>138</v>
      </c>
      <c r="J23" s="126" t="s">
        <v>139</v>
      </c>
      <c r="K23" s="126" t="s">
        <v>17</v>
      </c>
      <c r="M23" s="126" t="s">
        <v>7</v>
      </c>
    </row>
    <row r="24" spans="1:13" x14ac:dyDescent="0.25">
      <c r="A24" s="126" t="s">
        <v>2</v>
      </c>
      <c r="B24" s="126" t="s">
        <v>9</v>
      </c>
      <c r="C24" s="126" t="s">
        <v>8</v>
      </c>
    </row>
    <row r="25" spans="1:13" x14ac:dyDescent="0.25">
      <c r="A25" s="126" t="s">
        <v>2</v>
      </c>
      <c r="B25" s="126" t="s">
        <v>118</v>
      </c>
      <c r="C25" s="126" t="s">
        <v>119</v>
      </c>
      <c r="D25" s="126" t="s">
        <v>140</v>
      </c>
      <c r="G25" s="126" t="s">
        <v>121</v>
      </c>
      <c r="I25" s="126" t="s">
        <v>141</v>
      </c>
      <c r="J25" s="126" t="s">
        <v>142</v>
      </c>
      <c r="K25" s="126" t="s">
        <v>143</v>
      </c>
      <c r="M25" s="126" t="s">
        <v>144</v>
      </c>
    </row>
    <row r="26" spans="1:13" x14ac:dyDescent="0.25">
      <c r="A26" s="126" t="s">
        <v>2</v>
      </c>
    </row>
    <row r="28" spans="1:13" x14ac:dyDescent="0.25">
      <c r="B28" s="126" t="s">
        <v>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sheetData>
    <row r="1" spans="1:6" x14ac:dyDescent="0.25">
      <c r="A1" s="126" t="s">
        <v>628</v>
      </c>
      <c r="C1" s="126" t="s">
        <v>3</v>
      </c>
      <c r="D1" s="126" t="s">
        <v>4</v>
      </c>
      <c r="E1" s="126" t="s">
        <v>0</v>
      </c>
      <c r="F1" s="126" t="s">
        <v>53</v>
      </c>
    </row>
    <row r="4" spans="1:6" x14ac:dyDescent="0.25">
      <c r="C4" s="126" t="s">
        <v>5</v>
      </c>
    </row>
    <row r="5" spans="1:6" x14ac:dyDescent="0.25">
      <c r="A5" s="126" t="s">
        <v>1</v>
      </c>
      <c r="C5" s="126" t="s">
        <v>11</v>
      </c>
      <c r="D5" s="126" t="s">
        <v>73</v>
      </c>
      <c r="F5" s="126" t="s">
        <v>52</v>
      </c>
    </row>
    <row r="6" spans="1:6" x14ac:dyDescent="0.25">
      <c r="A6" s="126" t="s">
        <v>1</v>
      </c>
      <c r="C6" s="126" t="s">
        <v>12</v>
      </c>
      <c r="D6" s="126" t="s">
        <v>74</v>
      </c>
      <c r="F6" s="126" t="s">
        <v>52</v>
      </c>
    </row>
    <row r="7" spans="1:6" x14ac:dyDescent="0.25">
      <c r="A7" s="126" t="s">
        <v>1</v>
      </c>
      <c r="C7" s="126" t="s">
        <v>30</v>
      </c>
      <c r="D7" s="126" t="s">
        <v>32</v>
      </c>
      <c r="E7" s="126" t="s">
        <v>75</v>
      </c>
    </row>
    <row r="8" spans="1:6" x14ac:dyDescent="0.25">
      <c r="A8" s="126" t="s">
        <v>1</v>
      </c>
      <c r="C8" s="126" t="s">
        <v>29</v>
      </c>
      <c r="D8" s="126" t="s">
        <v>32</v>
      </c>
      <c r="E8" s="126" t="s">
        <v>76</v>
      </c>
    </row>
    <row r="9" spans="1:6" x14ac:dyDescent="0.25">
      <c r="A9" s="126" t="s">
        <v>1</v>
      </c>
      <c r="C9" s="126" t="s">
        <v>34</v>
      </c>
      <c r="D9" s="126" t="s">
        <v>77</v>
      </c>
    </row>
    <row r="10" spans="1:6" x14ac:dyDescent="0.25">
      <c r="A10" s="126" t="s">
        <v>1</v>
      </c>
      <c r="C10" s="126" t="s">
        <v>6</v>
      </c>
      <c r="D10" s="126" t="s">
        <v>78</v>
      </c>
      <c r="E10" s="126" t="s">
        <v>79</v>
      </c>
    </row>
    <row r="11" spans="1:6" x14ac:dyDescent="0.25">
      <c r="A11" s="126" t="s">
        <v>1</v>
      </c>
      <c r="C11" s="126" t="s">
        <v>45</v>
      </c>
      <c r="D11" s="126" t="s">
        <v>80</v>
      </c>
      <c r="E11" s="126" t="s">
        <v>81</v>
      </c>
    </row>
    <row r="12" spans="1:6" x14ac:dyDescent="0.25">
      <c r="C12" s="126" t="s">
        <v>46</v>
      </c>
      <c r="D12" s="126" t="s">
        <v>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workbookViewId="0"/>
  </sheetViews>
  <sheetFormatPr defaultRowHeight="15" x14ac:dyDescent="0.25"/>
  <sheetData>
    <row r="1" spans="1:19" x14ac:dyDescent="0.25">
      <c r="A1" s="126" t="s">
        <v>630</v>
      </c>
      <c r="B1" s="126" t="s">
        <v>36</v>
      </c>
      <c r="C1" s="126" t="s">
        <v>13</v>
      </c>
      <c r="D1" s="126" t="s">
        <v>13</v>
      </c>
      <c r="F1" s="126" t="s">
        <v>10</v>
      </c>
      <c r="G1" s="126" t="s">
        <v>10</v>
      </c>
      <c r="H1" s="126" t="s">
        <v>10</v>
      </c>
      <c r="K1" s="126" t="s">
        <v>10</v>
      </c>
      <c r="M1" s="126" t="s">
        <v>10</v>
      </c>
      <c r="R1" s="126" t="s">
        <v>2</v>
      </c>
      <c r="S1" s="126" t="s">
        <v>38</v>
      </c>
    </row>
    <row r="2" spans="1:19" x14ac:dyDescent="0.25">
      <c r="A2" s="126" t="s">
        <v>2</v>
      </c>
      <c r="K2" s="126" t="s">
        <v>19</v>
      </c>
      <c r="M2" s="126" t="s">
        <v>19</v>
      </c>
    </row>
    <row r="3" spans="1:19" x14ac:dyDescent="0.25">
      <c r="C3" s="126" t="s">
        <v>11</v>
      </c>
      <c r="D3" s="126" t="s">
        <v>83</v>
      </c>
    </row>
    <row r="4" spans="1:19" x14ac:dyDescent="0.25">
      <c r="C4" s="126" t="s">
        <v>12</v>
      </c>
      <c r="D4" s="126" t="s">
        <v>84</v>
      </c>
      <c r="F4" s="126" t="s">
        <v>39</v>
      </c>
    </row>
    <row r="5" spans="1:19" x14ac:dyDescent="0.25">
      <c r="C5" s="126" t="s">
        <v>30</v>
      </c>
      <c r="D5" s="126" t="s">
        <v>85</v>
      </c>
      <c r="F5" s="126" t="s">
        <v>86</v>
      </c>
    </row>
    <row r="6" spans="1:19" x14ac:dyDescent="0.25">
      <c r="C6" s="126" t="s">
        <v>29</v>
      </c>
      <c r="D6" s="126" t="s">
        <v>87</v>
      </c>
    </row>
    <row r="7" spans="1:19" x14ac:dyDescent="0.25">
      <c r="C7" s="126" t="s">
        <v>34</v>
      </c>
      <c r="D7" s="126" t="s">
        <v>88</v>
      </c>
      <c r="G7" s="126" t="s">
        <v>89</v>
      </c>
      <c r="H7" s="126" t="s">
        <v>90</v>
      </c>
    </row>
    <row r="8" spans="1:19" x14ac:dyDescent="0.25">
      <c r="C8" s="126" t="s">
        <v>6</v>
      </c>
      <c r="D8" s="126" t="s">
        <v>91</v>
      </c>
      <c r="G8" s="126" t="s">
        <v>92</v>
      </c>
      <c r="H8" s="126" t="s">
        <v>93</v>
      </c>
    </row>
    <row r="9" spans="1:19" x14ac:dyDescent="0.25">
      <c r="C9" s="126" t="s">
        <v>45</v>
      </c>
      <c r="D9" s="126" t="s">
        <v>94</v>
      </c>
      <c r="S9" s="126" t="s">
        <v>21</v>
      </c>
    </row>
    <row r="10" spans="1:19" x14ac:dyDescent="0.25">
      <c r="C10" s="126" t="s">
        <v>46</v>
      </c>
      <c r="D10" s="126" t="s">
        <v>95</v>
      </c>
      <c r="F10" s="126" t="s">
        <v>96</v>
      </c>
      <c r="Q10" s="126" t="s">
        <v>97</v>
      </c>
    </row>
    <row r="12" spans="1:19" x14ac:dyDescent="0.25">
      <c r="F12" s="126" t="s">
        <v>40</v>
      </c>
      <c r="G12" s="126" t="s">
        <v>41</v>
      </c>
      <c r="H12" s="126" t="s">
        <v>16</v>
      </c>
      <c r="I12" s="126" t="s">
        <v>15</v>
      </c>
      <c r="K12" s="126" t="s">
        <v>18</v>
      </c>
      <c r="M12" s="126" t="s">
        <v>7</v>
      </c>
      <c r="O12" s="126" t="s">
        <v>42</v>
      </c>
      <c r="Q12" s="126" t="s">
        <v>30</v>
      </c>
      <c r="R12" s="126" t="s">
        <v>37</v>
      </c>
      <c r="S12" s="126" t="s">
        <v>31</v>
      </c>
    </row>
    <row r="13" spans="1:19" x14ac:dyDescent="0.25">
      <c r="B13" s="126" t="s">
        <v>44</v>
      </c>
      <c r="D13" s="126" t="s">
        <v>47</v>
      </c>
      <c r="I13" s="126" t="s">
        <v>98</v>
      </c>
      <c r="J13" s="126" t="s">
        <v>99</v>
      </c>
      <c r="O13" s="126" t="s">
        <v>98</v>
      </c>
      <c r="P13" s="126" t="s">
        <v>99</v>
      </c>
    </row>
    <row r="14" spans="1:19" x14ac:dyDescent="0.25">
      <c r="B14" s="126" t="s">
        <v>100</v>
      </c>
      <c r="D14" s="126" t="s">
        <v>101</v>
      </c>
      <c r="F14" s="126" t="s">
        <v>102</v>
      </c>
      <c r="G14" s="126" t="s">
        <v>148</v>
      </c>
      <c r="H14" s="126" t="s">
        <v>104</v>
      </c>
      <c r="I14" s="126" t="s">
        <v>105</v>
      </c>
      <c r="J14" s="126" t="s">
        <v>106</v>
      </c>
      <c r="K14" s="126" t="s">
        <v>107</v>
      </c>
      <c r="L14" s="126" t="s">
        <v>108</v>
      </c>
      <c r="M14" s="126" t="s">
        <v>109</v>
      </c>
      <c r="N14" s="126" t="s">
        <v>110</v>
      </c>
      <c r="O14" s="126" t="s">
        <v>111</v>
      </c>
      <c r="P14" s="126" t="s">
        <v>112</v>
      </c>
      <c r="Q14" s="126" t="s">
        <v>113</v>
      </c>
      <c r="R14" s="126" t="s">
        <v>114</v>
      </c>
      <c r="S14" s="126" t="s">
        <v>115</v>
      </c>
    </row>
    <row r="15" spans="1:19" x14ac:dyDescent="0.25">
      <c r="A15" s="126" t="s">
        <v>145</v>
      </c>
      <c r="B15" s="126" t="s">
        <v>149</v>
      </c>
      <c r="D15" s="126" t="s">
        <v>150</v>
      </c>
      <c r="F15" s="126" t="s">
        <v>151</v>
      </c>
      <c r="G15" s="126" t="s">
        <v>152</v>
      </c>
      <c r="H15" s="126" t="s">
        <v>153</v>
      </c>
      <c r="I15" s="126" t="s">
        <v>154</v>
      </c>
      <c r="J15" s="126" t="s">
        <v>155</v>
      </c>
      <c r="K15" s="126" t="s">
        <v>156</v>
      </c>
      <c r="L15" s="126" t="s">
        <v>157</v>
      </c>
      <c r="M15" s="126" t="s">
        <v>158</v>
      </c>
      <c r="N15" s="126" t="s">
        <v>159</v>
      </c>
      <c r="O15" s="126" t="s">
        <v>160</v>
      </c>
      <c r="P15" s="126" t="s">
        <v>161</v>
      </c>
      <c r="Q15" s="126" t="s">
        <v>162</v>
      </c>
      <c r="R15" s="126" t="s">
        <v>163</v>
      </c>
      <c r="S15" s="126" t="s">
        <v>164</v>
      </c>
    </row>
    <row r="16" spans="1:19" x14ac:dyDescent="0.25">
      <c r="A16" s="126" t="s">
        <v>145</v>
      </c>
      <c r="B16" s="126" t="s">
        <v>165</v>
      </c>
      <c r="D16" s="126" t="s">
        <v>166</v>
      </c>
      <c r="F16" s="126" t="s">
        <v>167</v>
      </c>
      <c r="G16" s="126" t="s">
        <v>168</v>
      </c>
      <c r="H16" s="126" t="s">
        <v>169</v>
      </c>
      <c r="I16" s="126" t="s">
        <v>170</v>
      </c>
      <c r="J16" s="126" t="s">
        <v>171</v>
      </c>
      <c r="K16" s="126" t="s">
        <v>172</v>
      </c>
      <c r="L16" s="126" t="s">
        <v>173</v>
      </c>
      <c r="M16" s="126" t="s">
        <v>174</v>
      </c>
      <c r="N16" s="126" t="s">
        <v>175</v>
      </c>
      <c r="O16" s="126" t="s">
        <v>176</v>
      </c>
      <c r="P16" s="126" t="s">
        <v>177</v>
      </c>
      <c r="Q16" s="126" t="s">
        <v>178</v>
      </c>
      <c r="R16" s="126" t="s">
        <v>179</v>
      </c>
      <c r="S16" s="126" t="s">
        <v>180</v>
      </c>
    </row>
    <row r="17" spans="1:19" x14ac:dyDescent="0.25">
      <c r="A17" s="126" t="s">
        <v>145</v>
      </c>
      <c r="B17" s="126" t="s">
        <v>181</v>
      </c>
      <c r="D17" s="126" t="s">
        <v>182</v>
      </c>
      <c r="F17" s="126" t="s">
        <v>183</v>
      </c>
      <c r="G17" s="126" t="s">
        <v>184</v>
      </c>
      <c r="H17" s="126" t="s">
        <v>185</v>
      </c>
      <c r="I17" s="126" t="s">
        <v>186</v>
      </c>
      <c r="J17" s="126" t="s">
        <v>187</v>
      </c>
      <c r="K17" s="126" t="s">
        <v>188</v>
      </c>
      <c r="L17" s="126" t="s">
        <v>189</v>
      </c>
      <c r="M17" s="126" t="s">
        <v>190</v>
      </c>
      <c r="N17" s="126" t="s">
        <v>191</v>
      </c>
      <c r="O17" s="126" t="s">
        <v>192</v>
      </c>
      <c r="P17" s="126" t="s">
        <v>193</v>
      </c>
      <c r="Q17" s="126" t="s">
        <v>194</v>
      </c>
      <c r="R17" s="126" t="s">
        <v>195</v>
      </c>
      <c r="S17" s="126" t="s">
        <v>196</v>
      </c>
    </row>
    <row r="18" spans="1:19" x14ac:dyDescent="0.25">
      <c r="A18" s="126" t="s">
        <v>145</v>
      </c>
      <c r="B18" s="126" t="s">
        <v>197</v>
      </c>
      <c r="D18" s="126" t="s">
        <v>198</v>
      </c>
      <c r="F18" s="126" t="s">
        <v>199</v>
      </c>
      <c r="G18" s="126" t="s">
        <v>200</v>
      </c>
      <c r="H18" s="126" t="s">
        <v>201</v>
      </c>
      <c r="I18" s="126" t="s">
        <v>202</v>
      </c>
      <c r="J18" s="126" t="s">
        <v>203</v>
      </c>
      <c r="K18" s="126" t="s">
        <v>204</v>
      </c>
      <c r="L18" s="126" t="s">
        <v>205</v>
      </c>
      <c r="M18" s="126" t="s">
        <v>206</v>
      </c>
      <c r="N18" s="126" t="s">
        <v>207</v>
      </c>
      <c r="O18" s="126" t="s">
        <v>208</v>
      </c>
      <c r="P18" s="126" t="s">
        <v>209</v>
      </c>
      <c r="Q18" s="126" t="s">
        <v>210</v>
      </c>
      <c r="R18" s="126" t="s">
        <v>211</v>
      </c>
      <c r="S18" s="126" t="s">
        <v>212</v>
      </c>
    </row>
    <row r="19" spans="1:19" x14ac:dyDescent="0.25">
      <c r="A19" s="126" t="s">
        <v>145</v>
      </c>
      <c r="B19" s="126" t="s">
        <v>213</v>
      </c>
      <c r="D19" s="126" t="s">
        <v>214</v>
      </c>
      <c r="F19" s="126" t="s">
        <v>215</v>
      </c>
      <c r="G19" s="126" t="s">
        <v>216</v>
      </c>
      <c r="H19" s="126" t="s">
        <v>217</v>
      </c>
      <c r="I19" s="126" t="s">
        <v>218</v>
      </c>
      <c r="J19" s="126" t="s">
        <v>219</v>
      </c>
      <c r="K19" s="126" t="s">
        <v>220</v>
      </c>
      <c r="L19" s="126" t="s">
        <v>221</v>
      </c>
      <c r="M19" s="126" t="s">
        <v>222</v>
      </c>
      <c r="N19" s="126" t="s">
        <v>223</v>
      </c>
      <c r="O19" s="126" t="s">
        <v>224</v>
      </c>
      <c r="P19" s="126" t="s">
        <v>225</v>
      </c>
      <c r="Q19" s="126" t="s">
        <v>226</v>
      </c>
      <c r="R19" s="126" t="s">
        <v>227</v>
      </c>
      <c r="S19" s="126" t="s">
        <v>228</v>
      </c>
    </row>
    <row r="20" spans="1:19" x14ac:dyDescent="0.25">
      <c r="A20" s="126" t="s">
        <v>145</v>
      </c>
      <c r="B20" s="126" t="s">
        <v>229</v>
      </c>
      <c r="D20" s="126" t="s">
        <v>230</v>
      </c>
      <c r="F20" s="126" t="s">
        <v>231</v>
      </c>
      <c r="G20" s="126" t="s">
        <v>232</v>
      </c>
      <c r="H20" s="126" t="s">
        <v>233</v>
      </c>
      <c r="I20" s="126" t="s">
        <v>234</v>
      </c>
      <c r="J20" s="126" t="s">
        <v>235</v>
      </c>
      <c r="K20" s="126" t="s">
        <v>236</v>
      </c>
      <c r="L20" s="126" t="s">
        <v>237</v>
      </c>
      <c r="M20" s="126" t="s">
        <v>238</v>
      </c>
      <c r="N20" s="126" t="s">
        <v>239</v>
      </c>
      <c r="O20" s="126" t="s">
        <v>240</v>
      </c>
      <c r="P20" s="126" t="s">
        <v>241</v>
      </c>
      <c r="Q20" s="126" t="s">
        <v>242</v>
      </c>
      <c r="R20" s="126" t="s">
        <v>243</v>
      </c>
      <c r="S20" s="126" t="s">
        <v>244</v>
      </c>
    </row>
    <row r="21" spans="1:19" x14ac:dyDescent="0.25">
      <c r="A21" s="126" t="s">
        <v>145</v>
      </c>
      <c r="B21" s="126" t="s">
        <v>245</v>
      </c>
      <c r="D21" s="126" t="s">
        <v>246</v>
      </c>
      <c r="F21" s="126" t="s">
        <v>247</v>
      </c>
      <c r="G21" s="126" t="s">
        <v>248</v>
      </c>
      <c r="H21" s="126" t="s">
        <v>249</v>
      </c>
      <c r="I21" s="126" t="s">
        <v>250</v>
      </c>
      <c r="J21" s="126" t="s">
        <v>251</v>
      </c>
      <c r="K21" s="126" t="s">
        <v>252</v>
      </c>
      <c r="L21" s="126" t="s">
        <v>253</v>
      </c>
      <c r="M21" s="126" t="s">
        <v>254</v>
      </c>
      <c r="N21" s="126" t="s">
        <v>255</v>
      </c>
      <c r="O21" s="126" t="s">
        <v>256</v>
      </c>
      <c r="P21" s="126" t="s">
        <v>257</v>
      </c>
      <c r="Q21" s="126" t="s">
        <v>258</v>
      </c>
      <c r="R21" s="126" t="s">
        <v>259</v>
      </c>
      <c r="S21" s="126" t="s">
        <v>260</v>
      </c>
    </row>
    <row r="22" spans="1:19" x14ac:dyDescent="0.25">
      <c r="A22" s="126" t="s">
        <v>145</v>
      </c>
      <c r="B22" s="126" t="s">
        <v>261</v>
      </c>
      <c r="D22" s="126" t="s">
        <v>262</v>
      </c>
      <c r="F22" s="126" t="s">
        <v>263</v>
      </c>
      <c r="G22" s="126" t="s">
        <v>264</v>
      </c>
      <c r="H22" s="126" t="s">
        <v>265</v>
      </c>
      <c r="I22" s="126" t="s">
        <v>266</v>
      </c>
      <c r="J22" s="126" t="s">
        <v>267</v>
      </c>
      <c r="K22" s="126" t="s">
        <v>268</v>
      </c>
      <c r="L22" s="126" t="s">
        <v>269</v>
      </c>
      <c r="M22" s="126" t="s">
        <v>270</v>
      </c>
      <c r="N22" s="126" t="s">
        <v>271</v>
      </c>
      <c r="O22" s="126" t="s">
        <v>272</v>
      </c>
      <c r="P22" s="126" t="s">
        <v>273</v>
      </c>
      <c r="Q22" s="126" t="s">
        <v>274</v>
      </c>
      <c r="R22" s="126" t="s">
        <v>275</v>
      </c>
      <c r="S22" s="126" t="s">
        <v>276</v>
      </c>
    </row>
    <row r="23" spans="1:19" x14ac:dyDescent="0.25">
      <c r="A23" s="126" t="s">
        <v>145</v>
      </c>
      <c r="B23" s="126" t="s">
        <v>277</v>
      </c>
      <c r="D23" s="126" t="s">
        <v>77</v>
      </c>
      <c r="F23" s="126" t="s">
        <v>278</v>
      </c>
      <c r="G23" s="126" t="s">
        <v>279</v>
      </c>
      <c r="H23" s="126" t="s">
        <v>280</v>
      </c>
      <c r="I23" s="126" t="s">
        <v>281</v>
      </c>
      <c r="J23" s="126" t="s">
        <v>282</v>
      </c>
      <c r="K23" s="126" t="s">
        <v>283</v>
      </c>
      <c r="L23" s="126" t="s">
        <v>284</v>
      </c>
      <c r="M23" s="126" t="s">
        <v>285</v>
      </c>
      <c r="N23" s="126" t="s">
        <v>286</v>
      </c>
      <c r="O23" s="126" t="s">
        <v>287</v>
      </c>
      <c r="P23" s="126" t="s">
        <v>288</v>
      </c>
      <c r="Q23" s="126" t="s">
        <v>289</v>
      </c>
      <c r="R23" s="126" t="s">
        <v>290</v>
      </c>
      <c r="S23" s="126" t="s">
        <v>291</v>
      </c>
    </row>
    <row r="26" spans="1:19" x14ac:dyDescent="0.25">
      <c r="G26" s="126" t="s">
        <v>116</v>
      </c>
    </row>
    <row r="30" spans="1:19" x14ac:dyDescent="0.25">
      <c r="A30" s="126" t="s">
        <v>13</v>
      </c>
      <c r="G30" s="126" t="s">
        <v>117</v>
      </c>
    </row>
    <row r="31" spans="1:19" x14ac:dyDescent="0.25">
      <c r="A31" s="126" t="s">
        <v>13</v>
      </c>
      <c r="I31" s="126" t="s">
        <v>15</v>
      </c>
    </row>
    <row r="32" spans="1:19" x14ac:dyDescent="0.25">
      <c r="A32" s="126" t="s">
        <v>13</v>
      </c>
      <c r="G32" s="126" t="s">
        <v>14</v>
      </c>
      <c r="I32" s="126" t="s">
        <v>98</v>
      </c>
      <c r="J32" s="126" t="s">
        <v>99</v>
      </c>
      <c r="K32" s="126" t="s">
        <v>18</v>
      </c>
      <c r="M32" s="126" t="s">
        <v>7</v>
      </c>
    </row>
    <row r="33" spans="1:13" x14ac:dyDescent="0.25">
      <c r="A33" s="126" t="s">
        <v>13</v>
      </c>
      <c r="B33" s="126" t="s">
        <v>9</v>
      </c>
      <c r="C33" s="126" t="s">
        <v>8</v>
      </c>
    </row>
    <row r="34" spans="1:13" x14ac:dyDescent="0.25">
      <c r="A34" s="126" t="s">
        <v>13</v>
      </c>
      <c r="B34" s="126" t="s">
        <v>292</v>
      </c>
      <c r="C34" s="126" t="s">
        <v>293</v>
      </c>
      <c r="D34" s="126" t="s">
        <v>120</v>
      </c>
      <c r="G34" s="126" t="s">
        <v>396</v>
      </c>
      <c r="I34" s="126" t="s">
        <v>417</v>
      </c>
      <c r="J34" s="126" t="s">
        <v>438</v>
      </c>
      <c r="K34" s="126" t="s">
        <v>294</v>
      </c>
      <c r="M34" s="126" t="s">
        <v>295</v>
      </c>
    </row>
    <row r="35" spans="1:13" x14ac:dyDescent="0.25">
      <c r="A35" s="126" t="s">
        <v>146</v>
      </c>
      <c r="B35" s="126" t="s">
        <v>296</v>
      </c>
      <c r="C35" s="126" t="s">
        <v>297</v>
      </c>
      <c r="D35" s="126" t="s">
        <v>298</v>
      </c>
      <c r="G35" s="126" t="s">
        <v>397</v>
      </c>
      <c r="I35" s="126" t="s">
        <v>418</v>
      </c>
      <c r="J35" s="126" t="s">
        <v>439</v>
      </c>
      <c r="K35" s="126" t="s">
        <v>299</v>
      </c>
      <c r="M35" s="126" t="s">
        <v>300</v>
      </c>
    </row>
    <row r="36" spans="1:13" x14ac:dyDescent="0.25">
      <c r="A36" s="126" t="s">
        <v>146</v>
      </c>
      <c r="B36" s="126" t="s">
        <v>301</v>
      </c>
      <c r="C36" s="126" t="s">
        <v>302</v>
      </c>
      <c r="D36" s="126" t="s">
        <v>303</v>
      </c>
      <c r="G36" s="126" t="s">
        <v>398</v>
      </c>
      <c r="I36" s="126" t="s">
        <v>419</v>
      </c>
      <c r="J36" s="126" t="s">
        <v>440</v>
      </c>
      <c r="K36" s="126" t="s">
        <v>304</v>
      </c>
      <c r="M36" s="126" t="s">
        <v>305</v>
      </c>
    </row>
    <row r="37" spans="1:13" x14ac:dyDescent="0.25">
      <c r="A37" s="126" t="s">
        <v>146</v>
      </c>
      <c r="B37" s="126" t="s">
        <v>306</v>
      </c>
      <c r="C37" s="126" t="s">
        <v>307</v>
      </c>
      <c r="D37" s="126" t="s">
        <v>308</v>
      </c>
      <c r="G37" s="126" t="s">
        <v>399</v>
      </c>
      <c r="I37" s="126" t="s">
        <v>420</v>
      </c>
      <c r="J37" s="126" t="s">
        <v>441</v>
      </c>
      <c r="K37" s="126" t="s">
        <v>309</v>
      </c>
      <c r="M37" s="126" t="s">
        <v>310</v>
      </c>
    </row>
    <row r="38" spans="1:13" x14ac:dyDescent="0.25">
      <c r="A38" s="126" t="s">
        <v>146</v>
      </c>
      <c r="B38" s="126" t="s">
        <v>311</v>
      </c>
      <c r="C38" s="126" t="s">
        <v>312</v>
      </c>
      <c r="D38" s="126" t="s">
        <v>313</v>
      </c>
      <c r="G38" s="126" t="s">
        <v>400</v>
      </c>
      <c r="I38" s="126" t="s">
        <v>421</v>
      </c>
      <c r="J38" s="126" t="s">
        <v>442</v>
      </c>
      <c r="K38" s="126" t="s">
        <v>314</v>
      </c>
      <c r="M38" s="126" t="s">
        <v>315</v>
      </c>
    </row>
    <row r="39" spans="1:13" x14ac:dyDescent="0.25">
      <c r="A39" s="126" t="s">
        <v>146</v>
      </c>
      <c r="B39" s="126" t="s">
        <v>316</v>
      </c>
      <c r="C39" s="126" t="s">
        <v>317</v>
      </c>
      <c r="D39" s="126" t="s">
        <v>318</v>
      </c>
      <c r="G39" s="126" t="s">
        <v>401</v>
      </c>
      <c r="I39" s="126" t="s">
        <v>422</v>
      </c>
      <c r="J39" s="126" t="s">
        <v>443</v>
      </c>
      <c r="K39" s="126" t="s">
        <v>319</v>
      </c>
      <c r="M39" s="126" t="s">
        <v>320</v>
      </c>
    </row>
    <row r="40" spans="1:13" x14ac:dyDescent="0.25">
      <c r="A40" s="126" t="s">
        <v>146</v>
      </c>
      <c r="B40" s="126" t="s">
        <v>321</v>
      </c>
      <c r="C40" s="126" t="s">
        <v>322</v>
      </c>
      <c r="D40" s="126" t="s">
        <v>323</v>
      </c>
      <c r="G40" s="126" t="s">
        <v>402</v>
      </c>
      <c r="I40" s="126" t="s">
        <v>423</v>
      </c>
      <c r="J40" s="126" t="s">
        <v>444</v>
      </c>
      <c r="K40" s="126" t="s">
        <v>324</v>
      </c>
      <c r="M40" s="126" t="s">
        <v>325</v>
      </c>
    </row>
    <row r="41" spans="1:13" x14ac:dyDescent="0.25">
      <c r="A41" s="126" t="s">
        <v>146</v>
      </c>
      <c r="B41" s="126" t="s">
        <v>326</v>
      </c>
      <c r="C41" s="126" t="s">
        <v>327</v>
      </c>
      <c r="D41" s="126" t="s">
        <v>328</v>
      </c>
      <c r="G41" s="126" t="s">
        <v>403</v>
      </c>
      <c r="I41" s="126" t="s">
        <v>424</v>
      </c>
      <c r="J41" s="126" t="s">
        <v>445</v>
      </c>
      <c r="K41" s="126" t="s">
        <v>329</v>
      </c>
      <c r="M41" s="126" t="s">
        <v>330</v>
      </c>
    </row>
    <row r="42" spans="1:13" x14ac:dyDescent="0.25">
      <c r="A42" s="126" t="s">
        <v>146</v>
      </c>
      <c r="B42" s="126" t="s">
        <v>331</v>
      </c>
      <c r="C42" s="126" t="s">
        <v>332</v>
      </c>
      <c r="D42" s="126" t="s">
        <v>333</v>
      </c>
      <c r="G42" s="126" t="s">
        <v>404</v>
      </c>
      <c r="I42" s="126" t="s">
        <v>425</v>
      </c>
      <c r="J42" s="126" t="s">
        <v>446</v>
      </c>
      <c r="K42" s="126" t="s">
        <v>334</v>
      </c>
      <c r="M42" s="126" t="s">
        <v>335</v>
      </c>
    </row>
    <row r="43" spans="1:13" x14ac:dyDescent="0.25">
      <c r="A43" s="126" t="s">
        <v>146</v>
      </c>
      <c r="B43" s="126" t="s">
        <v>336</v>
      </c>
      <c r="C43" s="126" t="s">
        <v>337</v>
      </c>
      <c r="D43" s="126" t="s">
        <v>338</v>
      </c>
      <c r="G43" s="126" t="s">
        <v>405</v>
      </c>
      <c r="I43" s="126" t="s">
        <v>426</v>
      </c>
      <c r="J43" s="126" t="s">
        <v>447</v>
      </c>
      <c r="K43" s="126" t="s">
        <v>339</v>
      </c>
      <c r="M43" s="126" t="s">
        <v>340</v>
      </c>
    </row>
    <row r="44" spans="1:13" x14ac:dyDescent="0.25">
      <c r="A44" s="126" t="s">
        <v>146</v>
      </c>
      <c r="B44" s="126" t="s">
        <v>341</v>
      </c>
      <c r="C44" s="126" t="s">
        <v>342</v>
      </c>
      <c r="D44" s="126" t="s">
        <v>343</v>
      </c>
      <c r="G44" s="126" t="s">
        <v>406</v>
      </c>
      <c r="I44" s="126" t="s">
        <v>427</v>
      </c>
      <c r="J44" s="126" t="s">
        <v>448</v>
      </c>
      <c r="K44" s="126" t="s">
        <v>344</v>
      </c>
      <c r="M44" s="126" t="s">
        <v>345</v>
      </c>
    </row>
    <row r="45" spans="1:13" x14ac:dyDescent="0.25">
      <c r="A45" s="126" t="s">
        <v>146</v>
      </c>
      <c r="B45" s="126" t="s">
        <v>346</v>
      </c>
      <c r="C45" s="126" t="s">
        <v>347</v>
      </c>
      <c r="D45" s="126" t="s">
        <v>348</v>
      </c>
      <c r="G45" s="126" t="s">
        <v>407</v>
      </c>
      <c r="I45" s="126" t="s">
        <v>428</v>
      </c>
      <c r="J45" s="126" t="s">
        <v>449</v>
      </c>
      <c r="K45" s="126" t="s">
        <v>349</v>
      </c>
      <c r="M45" s="126" t="s">
        <v>350</v>
      </c>
    </row>
    <row r="46" spans="1:13" x14ac:dyDescent="0.25">
      <c r="A46" s="126" t="s">
        <v>146</v>
      </c>
      <c r="B46" s="126" t="s">
        <v>351</v>
      </c>
      <c r="C46" s="126" t="s">
        <v>352</v>
      </c>
      <c r="D46" s="126" t="s">
        <v>353</v>
      </c>
      <c r="G46" s="126" t="s">
        <v>408</v>
      </c>
      <c r="I46" s="126" t="s">
        <v>429</v>
      </c>
      <c r="J46" s="126" t="s">
        <v>450</v>
      </c>
      <c r="K46" s="126" t="s">
        <v>354</v>
      </c>
      <c r="M46" s="126" t="s">
        <v>355</v>
      </c>
    </row>
    <row r="47" spans="1:13" x14ac:dyDescent="0.25">
      <c r="A47" s="126" t="s">
        <v>146</v>
      </c>
      <c r="B47" s="126" t="s">
        <v>356</v>
      </c>
      <c r="C47" s="126" t="s">
        <v>357</v>
      </c>
      <c r="D47" s="126" t="s">
        <v>358</v>
      </c>
      <c r="G47" s="126" t="s">
        <v>409</v>
      </c>
      <c r="I47" s="126" t="s">
        <v>430</v>
      </c>
      <c r="J47" s="126" t="s">
        <v>451</v>
      </c>
      <c r="K47" s="126" t="s">
        <v>359</v>
      </c>
      <c r="M47" s="126" t="s">
        <v>360</v>
      </c>
    </row>
    <row r="48" spans="1:13" x14ac:dyDescent="0.25">
      <c r="A48" s="126" t="s">
        <v>146</v>
      </c>
      <c r="B48" s="126" t="s">
        <v>361</v>
      </c>
      <c r="C48" s="126" t="s">
        <v>362</v>
      </c>
      <c r="D48" s="126" t="s">
        <v>363</v>
      </c>
      <c r="G48" s="126" t="s">
        <v>410</v>
      </c>
      <c r="I48" s="126" t="s">
        <v>431</v>
      </c>
      <c r="J48" s="126" t="s">
        <v>452</v>
      </c>
      <c r="K48" s="126" t="s">
        <v>364</v>
      </c>
      <c r="M48" s="126" t="s">
        <v>365</v>
      </c>
    </row>
    <row r="49" spans="1:13" x14ac:dyDescent="0.25">
      <c r="A49" s="126" t="s">
        <v>146</v>
      </c>
      <c r="B49" s="126" t="s">
        <v>366</v>
      </c>
      <c r="C49" s="126" t="s">
        <v>367</v>
      </c>
      <c r="D49" s="126" t="s">
        <v>368</v>
      </c>
      <c r="G49" s="126" t="s">
        <v>411</v>
      </c>
      <c r="I49" s="126" t="s">
        <v>432</v>
      </c>
      <c r="J49" s="126" t="s">
        <v>453</v>
      </c>
      <c r="K49" s="126" t="s">
        <v>369</v>
      </c>
      <c r="M49" s="126" t="s">
        <v>370</v>
      </c>
    </row>
    <row r="50" spans="1:13" x14ac:dyDescent="0.25">
      <c r="A50" s="126" t="s">
        <v>146</v>
      </c>
      <c r="B50" s="126" t="s">
        <v>371</v>
      </c>
      <c r="C50" s="126" t="s">
        <v>372</v>
      </c>
      <c r="D50" s="126" t="s">
        <v>373</v>
      </c>
      <c r="G50" s="126" t="s">
        <v>412</v>
      </c>
      <c r="I50" s="126" t="s">
        <v>433</v>
      </c>
      <c r="J50" s="126" t="s">
        <v>454</v>
      </c>
      <c r="K50" s="126" t="s">
        <v>374</v>
      </c>
      <c r="M50" s="126" t="s">
        <v>375</v>
      </c>
    </row>
    <row r="51" spans="1:13" x14ac:dyDescent="0.25">
      <c r="A51" s="126" t="s">
        <v>146</v>
      </c>
      <c r="B51" s="126" t="s">
        <v>376</v>
      </c>
      <c r="C51" s="126" t="s">
        <v>377</v>
      </c>
      <c r="D51" s="126" t="s">
        <v>378</v>
      </c>
      <c r="G51" s="126" t="s">
        <v>413</v>
      </c>
      <c r="I51" s="126" t="s">
        <v>434</v>
      </c>
      <c r="J51" s="126" t="s">
        <v>455</v>
      </c>
      <c r="K51" s="126" t="s">
        <v>379</v>
      </c>
      <c r="M51" s="126" t="s">
        <v>380</v>
      </c>
    </row>
    <row r="52" spans="1:13" x14ac:dyDescent="0.25">
      <c r="A52" s="126" t="s">
        <v>146</v>
      </c>
      <c r="B52" s="126" t="s">
        <v>381</v>
      </c>
      <c r="C52" s="126" t="s">
        <v>382</v>
      </c>
      <c r="D52" s="126" t="s">
        <v>383</v>
      </c>
      <c r="G52" s="126" t="s">
        <v>414</v>
      </c>
      <c r="I52" s="126" t="s">
        <v>435</v>
      </c>
      <c r="J52" s="126" t="s">
        <v>456</v>
      </c>
      <c r="K52" s="126" t="s">
        <v>384</v>
      </c>
      <c r="M52" s="126" t="s">
        <v>385</v>
      </c>
    </row>
    <row r="53" spans="1:13" x14ac:dyDescent="0.25">
      <c r="A53" s="126" t="s">
        <v>146</v>
      </c>
      <c r="B53" s="126" t="s">
        <v>386</v>
      </c>
      <c r="C53" s="126" t="s">
        <v>387</v>
      </c>
      <c r="D53" s="126" t="s">
        <v>388</v>
      </c>
      <c r="G53" s="126" t="s">
        <v>415</v>
      </c>
      <c r="I53" s="126" t="s">
        <v>436</v>
      </c>
      <c r="J53" s="126" t="s">
        <v>457</v>
      </c>
      <c r="K53" s="126" t="s">
        <v>389</v>
      </c>
      <c r="M53" s="126" t="s">
        <v>390</v>
      </c>
    </row>
    <row r="54" spans="1:13" x14ac:dyDescent="0.25">
      <c r="A54" s="126" t="s">
        <v>146</v>
      </c>
      <c r="B54" s="126" t="s">
        <v>391</v>
      </c>
      <c r="C54" s="126" t="s">
        <v>392</v>
      </c>
      <c r="D54" s="126" t="s">
        <v>393</v>
      </c>
      <c r="G54" s="126" t="s">
        <v>416</v>
      </c>
      <c r="I54" s="126" t="s">
        <v>437</v>
      </c>
      <c r="J54" s="126" t="s">
        <v>458</v>
      </c>
      <c r="K54" s="126" t="s">
        <v>394</v>
      </c>
      <c r="M54" s="126" t="s">
        <v>395</v>
      </c>
    </row>
    <row r="55" spans="1:13" x14ac:dyDescent="0.25">
      <c r="A55" s="126" t="s">
        <v>13</v>
      </c>
    </row>
    <row r="58" spans="1:13" x14ac:dyDescent="0.25">
      <c r="B58" s="126" t="s">
        <v>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heetViews>
  <sheetFormatPr defaultRowHeight="15" x14ac:dyDescent="0.25"/>
  <sheetData>
    <row r="1" spans="1:19" x14ac:dyDescent="0.25">
      <c r="A1" s="126" t="s">
        <v>632</v>
      </c>
      <c r="B1" s="126" t="s">
        <v>36</v>
      </c>
      <c r="C1" s="126" t="s">
        <v>13</v>
      </c>
      <c r="D1" s="126" t="s">
        <v>13</v>
      </c>
      <c r="F1" s="126" t="s">
        <v>10</v>
      </c>
      <c r="G1" s="126" t="s">
        <v>10</v>
      </c>
      <c r="H1" s="126" t="s">
        <v>10</v>
      </c>
      <c r="K1" s="126" t="s">
        <v>10</v>
      </c>
      <c r="M1" s="126" t="s">
        <v>10</v>
      </c>
      <c r="R1" s="126" t="s">
        <v>2</v>
      </c>
      <c r="S1" s="126" t="s">
        <v>10</v>
      </c>
    </row>
    <row r="2" spans="1:19" x14ac:dyDescent="0.25">
      <c r="A2" s="126" t="s">
        <v>2</v>
      </c>
      <c r="K2" s="126" t="s">
        <v>19</v>
      </c>
      <c r="M2" s="126" t="s">
        <v>19</v>
      </c>
    </row>
    <row r="3" spans="1:19" x14ac:dyDescent="0.25">
      <c r="C3" s="126" t="s">
        <v>11</v>
      </c>
      <c r="D3" s="126" t="s">
        <v>83</v>
      </c>
    </row>
    <row r="4" spans="1:19" x14ac:dyDescent="0.25">
      <c r="C4" s="126" t="s">
        <v>12</v>
      </c>
      <c r="D4" s="126" t="s">
        <v>84</v>
      </c>
      <c r="F4" s="126" t="s">
        <v>43</v>
      </c>
    </row>
    <row r="5" spans="1:19" x14ac:dyDescent="0.25">
      <c r="C5" s="126" t="s">
        <v>30</v>
      </c>
      <c r="D5" s="126" t="s">
        <v>85</v>
      </c>
      <c r="F5" s="126" t="s">
        <v>86</v>
      </c>
    </row>
    <row r="6" spans="1:19" x14ac:dyDescent="0.25">
      <c r="C6" s="126" t="s">
        <v>29</v>
      </c>
      <c r="D6" s="126" t="s">
        <v>87</v>
      </c>
    </row>
    <row r="7" spans="1:19" x14ac:dyDescent="0.25">
      <c r="C7" s="126" t="s">
        <v>34</v>
      </c>
      <c r="D7" s="126" t="s">
        <v>88</v>
      </c>
      <c r="G7" s="126" t="s">
        <v>89</v>
      </c>
      <c r="H7" s="126" t="s">
        <v>90</v>
      </c>
    </row>
    <row r="8" spans="1:19" x14ac:dyDescent="0.25">
      <c r="C8" s="126" t="s">
        <v>6</v>
      </c>
      <c r="D8" s="126" t="s">
        <v>91</v>
      </c>
      <c r="G8" s="126" t="s">
        <v>92</v>
      </c>
      <c r="H8" s="126" t="s">
        <v>93</v>
      </c>
    </row>
    <row r="9" spans="1:19" x14ac:dyDescent="0.25">
      <c r="C9" s="126" t="s">
        <v>45</v>
      </c>
      <c r="D9" s="126" t="s">
        <v>94</v>
      </c>
      <c r="S9" s="126" t="s">
        <v>21</v>
      </c>
    </row>
    <row r="10" spans="1:19" x14ac:dyDescent="0.25">
      <c r="C10" s="126" t="s">
        <v>46</v>
      </c>
      <c r="D10" s="126" t="s">
        <v>95</v>
      </c>
      <c r="F10" s="126" t="s">
        <v>96</v>
      </c>
      <c r="Q10" s="126" t="s">
        <v>97</v>
      </c>
    </row>
    <row r="12" spans="1:19" x14ac:dyDescent="0.25">
      <c r="F12" s="126" t="s">
        <v>40</v>
      </c>
      <c r="G12" s="126" t="s">
        <v>41</v>
      </c>
      <c r="H12" s="126" t="s">
        <v>16</v>
      </c>
      <c r="I12" s="126" t="s">
        <v>15</v>
      </c>
      <c r="K12" s="126" t="s">
        <v>17</v>
      </c>
      <c r="M12" s="126" t="s">
        <v>7</v>
      </c>
      <c r="O12" s="126" t="s">
        <v>42</v>
      </c>
      <c r="Q12" s="126" t="s">
        <v>30</v>
      </c>
      <c r="R12" s="126" t="s">
        <v>37</v>
      </c>
      <c r="S12" s="126" t="s">
        <v>31</v>
      </c>
    </row>
    <row r="13" spans="1:19" x14ac:dyDescent="0.25">
      <c r="B13" s="126" t="s">
        <v>33</v>
      </c>
      <c r="D13" s="126" t="s">
        <v>47</v>
      </c>
      <c r="I13" s="126" t="s">
        <v>126</v>
      </c>
      <c r="J13" s="126" t="s">
        <v>127</v>
      </c>
      <c r="O13" s="126" t="s">
        <v>126</v>
      </c>
      <c r="P13" s="126" t="s">
        <v>127</v>
      </c>
    </row>
    <row r="14" spans="1:19" x14ac:dyDescent="0.25">
      <c r="B14" s="126" t="s">
        <v>128</v>
      </c>
      <c r="D14" s="126" t="s">
        <v>101</v>
      </c>
      <c r="F14" s="126" t="s">
        <v>102</v>
      </c>
      <c r="G14" s="126" t="s">
        <v>148</v>
      </c>
      <c r="H14" s="126" t="s">
        <v>104</v>
      </c>
      <c r="I14" s="126" t="s">
        <v>129</v>
      </c>
      <c r="J14" s="126" t="s">
        <v>130</v>
      </c>
      <c r="K14" s="126" t="s">
        <v>131</v>
      </c>
      <c r="L14" s="126" t="s">
        <v>132</v>
      </c>
      <c r="M14" s="126" t="s">
        <v>133</v>
      </c>
      <c r="N14" s="126" t="s">
        <v>134</v>
      </c>
      <c r="O14" s="126" t="s">
        <v>135</v>
      </c>
      <c r="P14" s="126" t="s">
        <v>136</v>
      </c>
      <c r="Q14" s="126" t="s">
        <v>113</v>
      </c>
      <c r="R14" s="126" t="s">
        <v>114</v>
      </c>
      <c r="S14" s="126" t="s">
        <v>115</v>
      </c>
    </row>
    <row r="15" spans="1:19" x14ac:dyDescent="0.25">
      <c r="A15" s="126" t="s">
        <v>145</v>
      </c>
      <c r="B15" s="126" t="s">
        <v>459</v>
      </c>
      <c r="D15" s="126" t="s">
        <v>150</v>
      </c>
      <c r="F15" s="126" t="s">
        <v>151</v>
      </c>
      <c r="G15" s="126" t="s">
        <v>152</v>
      </c>
      <c r="H15" s="126" t="s">
        <v>153</v>
      </c>
      <c r="I15" s="126" t="s">
        <v>460</v>
      </c>
      <c r="J15" s="126" t="s">
        <v>461</v>
      </c>
      <c r="K15" s="126" t="s">
        <v>462</v>
      </c>
      <c r="L15" s="126" t="s">
        <v>463</v>
      </c>
      <c r="M15" s="126" t="s">
        <v>464</v>
      </c>
      <c r="N15" s="126" t="s">
        <v>465</v>
      </c>
      <c r="O15" s="126" t="s">
        <v>466</v>
      </c>
      <c r="P15" s="126" t="s">
        <v>467</v>
      </c>
      <c r="Q15" s="126" t="s">
        <v>162</v>
      </c>
      <c r="R15" s="126" t="s">
        <v>163</v>
      </c>
      <c r="S15" s="126" t="s">
        <v>164</v>
      </c>
    </row>
    <row r="16" spans="1:19" x14ac:dyDescent="0.25">
      <c r="A16" s="126" t="s">
        <v>145</v>
      </c>
      <c r="B16" s="126" t="s">
        <v>468</v>
      </c>
      <c r="D16" s="126" t="s">
        <v>166</v>
      </c>
      <c r="F16" s="126" t="s">
        <v>167</v>
      </c>
      <c r="G16" s="126" t="s">
        <v>168</v>
      </c>
      <c r="H16" s="126" t="s">
        <v>169</v>
      </c>
      <c r="I16" s="126" t="s">
        <v>469</v>
      </c>
      <c r="J16" s="126" t="s">
        <v>470</v>
      </c>
      <c r="K16" s="126" t="s">
        <v>471</v>
      </c>
      <c r="L16" s="126" t="s">
        <v>472</v>
      </c>
      <c r="M16" s="126" t="s">
        <v>473</v>
      </c>
      <c r="N16" s="126" t="s">
        <v>474</v>
      </c>
      <c r="O16" s="126" t="s">
        <v>475</v>
      </c>
      <c r="P16" s="126" t="s">
        <v>476</v>
      </c>
      <c r="Q16" s="126" t="s">
        <v>178</v>
      </c>
      <c r="R16" s="126" t="s">
        <v>179</v>
      </c>
      <c r="S16" s="126" t="s">
        <v>180</v>
      </c>
    </row>
    <row r="17" spans="1:19" x14ac:dyDescent="0.25">
      <c r="A17" s="126" t="s">
        <v>145</v>
      </c>
      <c r="B17" s="126" t="s">
        <v>477</v>
      </c>
      <c r="D17" s="126" t="s">
        <v>182</v>
      </c>
      <c r="F17" s="126" t="s">
        <v>183</v>
      </c>
      <c r="G17" s="126" t="s">
        <v>184</v>
      </c>
      <c r="H17" s="126" t="s">
        <v>185</v>
      </c>
      <c r="I17" s="126" t="s">
        <v>478</v>
      </c>
      <c r="J17" s="126" t="s">
        <v>479</v>
      </c>
      <c r="K17" s="126" t="s">
        <v>480</v>
      </c>
      <c r="L17" s="126" t="s">
        <v>481</v>
      </c>
      <c r="M17" s="126" t="s">
        <v>482</v>
      </c>
      <c r="N17" s="126" t="s">
        <v>483</v>
      </c>
      <c r="O17" s="126" t="s">
        <v>484</v>
      </c>
      <c r="P17" s="126" t="s">
        <v>485</v>
      </c>
      <c r="Q17" s="126" t="s">
        <v>194</v>
      </c>
      <c r="R17" s="126" t="s">
        <v>195</v>
      </c>
      <c r="S17" s="126" t="s">
        <v>196</v>
      </c>
    </row>
    <row r="18" spans="1:19" x14ac:dyDescent="0.25">
      <c r="A18" s="126" t="s">
        <v>145</v>
      </c>
      <c r="B18" s="126" t="s">
        <v>486</v>
      </c>
      <c r="D18" s="126" t="s">
        <v>198</v>
      </c>
      <c r="F18" s="126" t="s">
        <v>199</v>
      </c>
      <c r="G18" s="126" t="s">
        <v>200</v>
      </c>
      <c r="H18" s="126" t="s">
        <v>201</v>
      </c>
      <c r="I18" s="126" t="s">
        <v>487</v>
      </c>
      <c r="J18" s="126" t="s">
        <v>488</v>
      </c>
      <c r="K18" s="126" t="s">
        <v>489</v>
      </c>
      <c r="L18" s="126" t="s">
        <v>490</v>
      </c>
      <c r="M18" s="126" t="s">
        <v>491</v>
      </c>
      <c r="N18" s="126" t="s">
        <v>492</v>
      </c>
      <c r="O18" s="126" t="s">
        <v>493</v>
      </c>
      <c r="P18" s="126" t="s">
        <v>494</v>
      </c>
      <c r="Q18" s="126" t="s">
        <v>210</v>
      </c>
      <c r="R18" s="126" t="s">
        <v>211</v>
      </c>
      <c r="S18" s="126" t="s">
        <v>212</v>
      </c>
    </row>
    <row r="19" spans="1:19" x14ac:dyDescent="0.25">
      <c r="A19" s="126" t="s">
        <v>145</v>
      </c>
      <c r="B19" s="126" t="s">
        <v>495</v>
      </c>
      <c r="D19" s="126" t="s">
        <v>214</v>
      </c>
      <c r="F19" s="126" t="s">
        <v>215</v>
      </c>
      <c r="G19" s="126" t="s">
        <v>216</v>
      </c>
      <c r="H19" s="126" t="s">
        <v>217</v>
      </c>
      <c r="I19" s="126" t="s">
        <v>496</v>
      </c>
      <c r="J19" s="126" t="s">
        <v>497</v>
      </c>
      <c r="K19" s="126" t="s">
        <v>498</v>
      </c>
      <c r="L19" s="126" t="s">
        <v>499</v>
      </c>
      <c r="M19" s="126" t="s">
        <v>500</v>
      </c>
      <c r="N19" s="126" t="s">
        <v>501</v>
      </c>
      <c r="O19" s="126" t="s">
        <v>502</v>
      </c>
      <c r="P19" s="126" t="s">
        <v>503</v>
      </c>
      <c r="Q19" s="126" t="s">
        <v>226</v>
      </c>
      <c r="R19" s="126" t="s">
        <v>227</v>
      </c>
      <c r="S19" s="126" t="s">
        <v>228</v>
      </c>
    </row>
    <row r="20" spans="1:19" x14ac:dyDescent="0.25">
      <c r="A20" s="126" t="s">
        <v>145</v>
      </c>
      <c r="B20" s="126" t="s">
        <v>504</v>
      </c>
      <c r="D20" s="126" t="s">
        <v>230</v>
      </c>
      <c r="F20" s="126" t="s">
        <v>231</v>
      </c>
      <c r="G20" s="126" t="s">
        <v>232</v>
      </c>
      <c r="H20" s="126" t="s">
        <v>233</v>
      </c>
      <c r="I20" s="126" t="s">
        <v>505</v>
      </c>
      <c r="J20" s="126" t="s">
        <v>506</v>
      </c>
      <c r="K20" s="126" t="s">
        <v>507</v>
      </c>
      <c r="L20" s="126" t="s">
        <v>508</v>
      </c>
      <c r="M20" s="126" t="s">
        <v>509</v>
      </c>
      <c r="N20" s="126" t="s">
        <v>510</v>
      </c>
      <c r="O20" s="126" t="s">
        <v>511</v>
      </c>
      <c r="P20" s="126" t="s">
        <v>512</v>
      </c>
      <c r="Q20" s="126" t="s">
        <v>242</v>
      </c>
      <c r="R20" s="126" t="s">
        <v>243</v>
      </c>
      <c r="S20" s="126" t="s">
        <v>244</v>
      </c>
    </row>
    <row r="21" spans="1:19" x14ac:dyDescent="0.25">
      <c r="A21" s="126" t="s">
        <v>145</v>
      </c>
      <c r="B21" s="126" t="s">
        <v>513</v>
      </c>
      <c r="D21" s="126" t="s">
        <v>246</v>
      </c>
      <c r="F21" s="126" t="s">
        <v>247</v>
      </c>
      <c r="G21" s="126" t="s">
        <v>248</v>
      </c>
      <c r="H21" s="126" t="s">
        <v>249</v>
      </c>
      <c r="I21" s="126" t="s">
        <v>514</v>
      </c>
      <c r="J21" s="126" t="s">
        <v>515</v>
      </c>
      <c r="K21" s="126" t="s">
        <v>516</v>
      </c>
      <c r="L21" s="126" t="s">
        <v>517</v>
      </c>
      <c r="M21" s="126" t="s">
        <v>518</v>
      </c>
      <c r="N21" s="126" t="s">
        <v>519</v>
      </c>
      <c r="O21" s="126" t="s">
        <v>520</v>
      </c>
      <c r="P21" s="126" t="s">
        <v>521</v>
      </c>
      <c r="Q21" s="126" t="s">
        <v>258</v>
      </c>
      <c r="R21" s="126" t="s">
        <v>259</v>
      </c>
      <c r="S21" s="126" t="s">
        <v>260</v>
      </c>
    </row>
    <row r="22" spans="1:19" x14ac:dyDescent="0.25">
      <c r="A22" s="126" t="s">
        <v>145</v>
      </c>
      <c r="B22" s="126" t="s">
        <v>522</v>
      </c>
      <c r="D22" s="126" t="s">
        <v>262</v>
      </c>
      <c r="F22" s="126" t="s">
        <v>263</v>
      </c>
      <c r="G22" s="126" t="s">
        <v>264</v>
      </c>
      <c r="H22" s="126" t="s">
        <v>265</v>
      </c>
      <c r="I22" s="126" t="s">
        <v>523</v>
      </c>
      <c r="J22" s="126" t="s">
        <v>524</v>
      </c>
      <c r="K22" s="126" t="s">
        <v>525</v>
      </c>
      <c r="L22" s="126" t="s">
        <v>526</v>
      </c>
      <c r="M22" s="126" t="s">
        <v>527</v>
      </c>
      <c r="N22" s="126" t="s">
        <v>528</v>
      </c>
      <c r="O22" s="126" t="s">
        <v>529</v>
      </c>
      <c r="P22" s="126" t="s">
        <v>530</v>
      </c>
      <c r="Q22" s="126" t="s">
        <v>274</v>
      </c>
      <c r="R22" s="126" t="s">
        <v>275</v>
      </c>
      <c r="S22" s="126" t="s">
        <v>276</v>
      </c>
    </row>
    <row r="23" spans="1:19" x14ac:dyDescent="0.25">
      <c r="A23" s="126" t="s">
        <v>145</v>
      </c>
      <c r="B23" s="126" t="s">
        <v>531</v>
      </c>
      <c r="D23" s="126" t="s">
        <v>77</v>
      </c>
      <c r="F23" s="126" t="s">
        <v>278</v>
      </c>
      <c r="G23" s="126" t="s">
        <v>279</v>
      </c>
      <c r="H23" s="126" t="s">
        <v>280</v>
      </c>
      <c r="I23" s="126" t="s">
        <v>532</v>
      </c>
      <c r="J23" s="126" t="s">
        <v>533</v>
      </c>
      <c r="K23" s="126" t="s">
        <v>534</v>
      </c>
      <c r="L23" s="126" t="s">
        <v>535</v>
      </c>
      <c r="M23" s="126" t="s">
        <v>536</v>
      </c>
      <c r="N23" s="126" t="s">
        <v>537</v>
      </c>
      <c r="O23" s="126" t="s">
        <v>538</v>
      </c>
      <c r="P23" s="126" t="s">
        <v>539</v>
      </c>
      <c r="Q23" s="126" t="s">
        <v>289</v>
      </c>
      <c r="R23" s="126" t="s">
        <v>290</v>
      </c>
      <c r="S23" s="126" t="s">
        <v>291</v>
      </c>
    </row>
    <row r="26" spans="1:19" x14ac:dyDescent="0.25">
      <c r="G26" s="126" t="s">
        <v>116</v>
      </c>
    </row>
    <row r="30" spans="1:19" x14ac:dyDescent="0.25">
      <c r="A30" s="126" t="s">
        <v>2</v>
      </c>
      <c r="G30" s="126" t="s">
        <v>137</v>
      </c>
    </row>
    <row r="31" spans="1:19" x14ac:dyDescent="0.25">
      <c r="A31" s="126" t="s">
        <v>2</v>
      </c>
      <c r="I31" s="126" t="s">
        <v>15</v>
      </c>
    </row>
    <row r="32" spans="1:19" x14ac:dyDescent="0.25">
      <c r="A32" s="126" t="s">
        <v>2</v>
      </c>
      <c r="G32" s="126" t="s">
        <v>14</v>
      </c>
      <c r="I32" s="126" t="s">
        <v>138</v>
      </c>
      <c r="J32" s="126" t="s">
        <v>139</v>
      </c>
      <c r="K32" s="126" t="s">
        <v>17</v>
      </c>
      <c r="M32" s="126" t="s">
        <v>7</v>
      </c>
    </row>
    <row r="33" spans="1:13" x14ac:dyDescent="0.25">
      <c r="A33" s="126" t="s">
        <v>2</v>
      </c>
      <c r="B33" s="126" t="s">
        <v>9</v>
      </c>
      <c r="C33" s="126" t="s">
        <v>8</v>
      </c>
    </row>
    <row r="34" spans="1:13" x14ac:dyDescent="0.25">
      <c r="A34" s="126" t="s">
        <v>2</v>
      </c>
      <c r="B34" s="126" t="s">
        <v>292</v>
      </c>
      <c r="C34" s="126" t="s">
        <v>293</v>
      </c>
      <c r="D34" s="126" t="s">
        <v>140</v>
      </c>
      <c r="G34" s="126" t="s">
        <v>396</v>
      </c>
      <c r="I34" s="126" t="s">
        <v>582</v>
      </c>
      <c r="J34" s="126" t="s">
        <v>603</v>
      </c>
      <c r="K34" s="126" t="s">
        <v>540</v>
      </c>
      <c r="M34" s="126" t="s">
        <v>541</v>
      </c>
    </row>
    <row r="35" spans="1:13" x14ac:dyDescent="0.25">
      <c r="A35" s="126" t="s">
        <v>147</v>
      </c>
      <c r="B35" s="126" t="s">
        <v>296</v>
      </c>
      <c r="C35" s="126" t="s">
        <v>297</v>
      </c>
      <c r="D35" s="126" t="s">
        <v>298</v>
      </c>
      <c r="G35" s="126" t="s">
        <v>397</v>
      </c>
      <c r="I35" s="126" t="s">
        <v>583</v>
      </c>
      <c r="J35" s="126" t="s">
        <v>604</v>
      </c>
      <c r="K35" s="126" t="s">
        <v>542</v>
      </c>
      <c r="M35" s="126" t="s">
        <v>543</v>
      </c>
    </row>
    <row r="36" spans="1:13" x14ac:dyDescent="0.25">
      <c r="A36" s="126" t="s">
        <v>147</v>
      </c>
      <c r="B36" s="126" t="s">
        <v>301</v>
      </c>
      <c r="C36" s="126" t="s">
        <v>302</v>
      </c>
      <c r="D36" s="126" t="s">
        <v>303</v>
      </c>
      <c r="G36" s="126" t="s">
        <v>398</v>
      </c>
      <c r="I36" s="126" t="s">
        <v>584</v>
      </c>
      <c r="J36" s="126" t="s">
        <v>605</v>
      </c>
      <c r="K36" s="126" t="s">
        <v>544</v>
      </c>
      <c r="M36" s="126" t="s">
        <v>545</v>
      </c>
    </row>
    <row r="37" spans="1:13" x14ac:dyDescent="0.25">
      <c r="A37" s="126" t="s">
        <v>147</v>
      </c>
      <c r="B37" s="126" t="s">
        <v>306</v>
      </c>
      <c r="C37" s="126" t="s">
        <v>307</v>
      </c>
      <c r="D37" s="126" t="s">
        <v>308</v>
      </c>
      <c r="G37" s="126" t="s">
        <v>399</v>
      </c>
      <c r="I37" s="126" t="s">
        <v>585</v>
      </c>
      <c r="J37" s="126" t="s">
        <v>606</v>
      </c>
      <c r="K37" s="126" t="s">
        <v>546</v>
      </c>
      <c r="M37" s="126" t="s">
        <v>547</v>
      </c>
    </row>
    <row r="38" spans="1:13" x14ac:dyDescent="0.25">
      <c r="A38" s="126" t="s">
        <v>147</v>
      </c>
      <c r="B38" s="126" t="s">
        <v>311</v>
      </c>
      <c r="C38" s="126" t="s">
        <v>312</v>
      </c>
      <c r="D38" s="126" t="s">
        <v>313</v>
      </c>
      <c r="G38" s="126" t="s">
        <v>400</v>
      </c>
      <c r="I38" s="126" t="s">
        <v>586</v>
      </c>
      <c r="J38" s="126" t="s">
        <v>607</v>
      </c>
      <c r="K38" s="126" t="s">
        <v>548</v>
      </c>
      <c r="M38" s="126" t="s">
        <v>549</v>
      </c>
    </row>
    <row r="39" spans="1:13" x14ac:dyDescent="0.25">
      <c r="A39" s="126" t="s">
        <v>147</v>
      </c>
      <c r="B39" s="126" t="s">
        <v>316</v>
      </c>
      <c r="C39" s="126" t="s">
        <v>317</v>
      </c>
      <c r="D39" s="126" t="s">
        <v>318</v>
      </c>
      <c r="G39" s="126" t="s">
        <v>401</v>
      </c>
      <c r="I39" s="126" t="s">
        <v>587</v>
      </c>
      <c r="J39" s="126" t="s">
        <v>608</v>
      </c>
      <c r="K39" s="126" t="s">
        <v>550</v>
      </c>
      <c r="M39" s="126" t="s">
        <v>551</v>
      </c>
    </row>
    <row r="40" spans="1:13" x14ac:dyDescent="0.25">
      <c r="A40" s="126" t="s">
        <v>147</v>
      </c>
      <c r="B40" s="126" t="s">
        <v>321</v>
      </c>
      <c r="C40" s="126" t="s">
        <v>322</v>
      </c>
      <c r="D40" s="126" t="s">
        <v>323</v>
      </c>
      <c r="G40" s="126" t="s">
        <v>402</v>
      </c>
      <c r="I40" s="126" t="s">
        <v>588</v>
      </c>
      <c r="J40" s="126" t="s">
        <v>609</v>
      </c>
      <c r="K40" s="126" t="s">
        <v>552</v>
      </c>
      <c r="M40" s="126" t="s">
        <v>553</v>
      </c>
    </row>
    <row r="41" spans="1:13" x14ac:dyDescent="0.25">
      <c r="A41" s="126" t="s">
        <v>147</v>
      </c>
      <c r="B41" s="126" t="s">
        <v>326</v>
      </c>
      <c r="C41" s="126" t="s">
        <v>327</v>
      </c>
      <c r="D41" s="126" t="s">
        <v>333</v>
      </c>
      <c r="G41" s="126" t="s">
        <v>403</v>
      </c>
      <c r="I41" s="126" t="s">
        <v>589</v>
      </c>
      <c r="J41" s="126" t="s">
        <v>610</v>
      </c>
      <c r="K41" s="126" t="s">
        <v>554</v>
      </c>
      <c r="M41" s="126" t="s">
        <v>555</v>
      </c>
    </row>
    <row r="42" spans="1:13" x14ac:dyDescent="0.25">
      <c r="A42" s="126" t="s">
        <v>147</v>
      </c>
      <c r="B42" s="126" t="s">
        <v>331</v>
      </c>
      <c r="C42" s="126" t="s">
        <v>332</v>
      </c>
      <c r="D42" s="126" t="s">
        <v>328</v>
      </c>
      <c r="G42" s="126" t="s">
        <v>404</v>
      </c>
      <c r="I42" s="126" t="s">
        <v>590</v>
      </c>
      <c r="J42" s="126" t="s">
        <v>611</v>
      </c>
      <c r="K42" s="126" t="s">
        <v>556</v>
      </c>
      <c r="M42" s="126" t="s">
        <v>557</v>
      </c>
    </row>
    <row r="43" spans="1:13" x14ac:dyDescent="0.25">
      <c r="A43" s="126" t="s">
        <v>147</v>
      </c>
      <c r="B43" s="126" t="s">
        <v>336</v>
      </c>
      <c r="C43" s="126" t="s">
        <v>337</v>
      </c>
      <c r="D43" s="126" t="s">
        <v>338</v>
      </c>
      <c r="G43" s="126" t="s">
        <v>405</v>
      </c>
      <c r="I43" s="126" t="s">
        <v>591</v>
      </c>
      <c r="J43" s="126" t="s">
        <v>612</v>
      </c>
      <c r="K43" s="126" t="s">
        <v>558</v>
      </c>
      <c r="M43" s="126" t="s">
        <v>559</v>
      </c>
    </row>
    <row r="44" spans="1:13" x14ac:dyDescent="0.25">
      <c r="A44" s="126" t="s">
        <v>147</v>
      </c>
      <c r="B44" s="126" t="s">
        <v>341</v>
      </c>
      <c r="C44" s="126" t="s">
        <v>342</v>
      </c>
      <c r="D44" s="126" t="s">
        <v>343</v>
      </c>
      <c r="G44" s="126" t="s">
        <v>406</v>
      </c>
      <c r="I44" s="126" t="s">
        <v>592</v>
      </c>
      <c r="J44" s="126" t="s">
        <v>613</v>
      </c>
      <c r="K44" s="126" t="s">
        <v>560</v>
      </c>
      <c r="M44" s="126" t="s">
        <v>561</v>
      </c>
    </row>
    <row r="45" spans="1:13" x14ac:dyDescent="0.25">
      <c r="A45" s="126" t="s">
        <v>147</v>
      </c>
      <c r="B45" s="126" t="s">
        <v>346</v>
      </c>
      <c r="C45" s="126" t="s">
        <v>347</v>
      </c>
      <c r="D45" s="126" t="s">
        <v>348</v>
      </c>
      <c r="G45" s="126" t="s">
        <v>407</v>
      </c>
      <c r="I45" s="126" t="s">
        <v>593</v>
      </c>
      <c r="J45" s="126" t="s">
        <v>614</v>
      </c>
      <c r="K45" s="126" t="s">
        <v>562</v>
      </c>
      <c r="M45" s="126" t="s">
        <v>563</v>
      </c>
    </row>
    <row r="46" spans="1:13" x14ac:dyDescent="0.25">
      <c r="A46" s="126" t="s">
        <v>147</v>
      </c>
      <c r="B46" s="126" t="s">
        <v>351</v>
      </c>
      <c r="C46" s="126" t="s">
        <v>352</v>
      </c>
      <c r="D46" s="126" t="s">
        <v>378</v>
      </c>
      <c r="G46" s="126" t="s">
        <v>408</v>
      </c>
      <c r="I46" s="126" t="s">
        <v>594</v>
      </c>
      <c r="J46" s="126" t="s">
        <v>615</v>
      </c>
      <c r="K46" s="126" t="s">
        <v>564</v>
      </c>
      <c r="M46" s="126" t="s">
        <v>565</v>
      </c>
    </row>
    <row r="47" spans="1:13" x14ac:dyDescent="0.25">
      <c r="A47" s="126" t="s">
        <v>147</v>
      </c>
      <c r="B47" s="126" t="s">
        <v>356</v>
      </c>
      <c r="C47" s="126" t="s">
        <v>357</v>
      </c>
      <c r="D47" s="126" t="s">
        <v>353</v>
      </c>
      <c r="G47" s="126" t="s">
        <v>409</v>
      </c>
      <c r="I47" s="126" t="s">
        <v>595</v>
      </c>
      <c r="J47" s="126" t="s">
        <v>616</v>
      </c>
      <c r="K47" s="126" t="s">
        <v>566</v>
      </c>
      <c r="M47" s="126" t="s">
        <v>567</v>
      </c>
    </row>
    <row r="48" spans="1:13" x14ac:dyDescent="0.25">
      <c r="A48" s="126" t="s">
        <v>147</v>
      </c>
      <c r="B48" s="126" t="s">
        <v>361</v>
      </c>
      <c r="C48" s="126" t="s">
        <v>362</v>
      </c>
      <c r="D48" s="126" t="s">
        <v>373</v>
      </c>
      <c r="G48" s="126" t="s">
        <v>410</v>
      </c>
      <c r="I48" s="126" t="s">
        <v>596</v>
      </c>
      <c r="J48" s="126" t="s">
        <v>617</v>
      </c>
      <c r="K48" s="126" t="s">
        <v>568</v>
      </c>
      <c r="M48" s="126" t="s">
        <v>569</v>
      </c>
    </row>
    <row r="49" spans="1:13" x14ac:dyDescent="0.25">
      <c r="A49" s="126" t="s">
        <v>147</v>
      </c>
      <c r="B49" s="126" t="s">
        <v>366</v>
      </c>
      <c r="C49" s="126" t="s">
        <v>367</v>
      </c>
      <c r="D49" s="126" t="s">
        <v>358</v>
      </c>
      <c r="G49" s="126" t="s">
        <v>411</v>
      </c>
      <c r="I49" s="126" t="s">
        <v>597</v>
      </c>
      <c r="J49" s="126" t="s">
        <v>618</v>
      </c>
      <c r="K49" s="126" t="s">
        <v>570</v>
      </c>
      <c r="M49" s="126" t="s">
        <v>571</v>
      </c>
    </row>
    <row r="50" spans="1:13" x14ac:dyDescent="0.25">
      <c r="A50" s="126" t="s">
        <v>147</v>
      </c>
      <c r="B50" s="126" t="s">
        <v>371</v>
      </c>
      <c r="C50" s="126" t="s">
        <v>372</v>
      </c>
      <c r="D50" s="126" t="s">
        <v>368</v>
      </c>
      <c r="G50" s="126" t="s">
        <v>412</v>
      </c>
      <c r="I50" s="126" t="s">
        <v>598</v>
      </c>
      <c r="J50" s="126" t="s">
        <v>619</v>
      </c>
      <c r="K50" s="126" t="s">
        <v>572</v>
      </c>
      <c r="M50" s="126" t="s">
        <v>573</v>
      </c>
    </row>
    <row r="51" spans="1:13" x14ac:dyDescent="0.25">
      <c r="A51" s="126" t="s">
        <v>147</v>
      </c>
      <c r="B51" s="126" t="s">
        <v>376</v>
      </c>
      <c r="C51" s="126" t="s">
        <v>377</v>
      </c>
      <c r="D51" s="126" t="s">
        <v>363</v>
      </c>
      <c r="G51" s="126" t="s">
        <v>413</v>
      </c>
      <c r="I51" s="126" t="s">
        <v>599</v>
      </c>
      <c r="J51" s="126" t="s">
        <v>620</v>
      </c>
      <c r="K51" s="126" t="s">
        <v>574</v>
      </c>
      <c r="M51" s="126" t="s">
        <v>575</v>
      </c>
    </row>
    <row r="52" spans="1:13" x14ac:dyDescent="0.25">
      <c r="A52" s="126" t="s">
        <v>147</v>
      </c>
      <c r="B52" s="126" t="s">
        <v>381</v>
      </c>
      <c r="C52" s="126" t="s">
        <v>382</v>
      </c>
      <c r="D52" s="126" t="s">
        <v>383</v>
      </c>
      <c r="G52" s="126" t="s">
        <v>414</v>
      </c>
      <c r="I52" s="126" t="s">
        <v>600</v>
      </c>
      <c r="J52" s="126" t="s">
        <v>621</v>
      </c>
      <c r="K52" s="126" t="s">
        <v>576</v>
      </c>
      <c r="M52" s="126" t="s">
        <v>577</v>
      </c>
    </row>
    <row r="53" spans="1:13" x14ac:dyDescent="0.25">
      <c r="A53" s="126" t="s">
        <v>147</v>
      </c>
      <c r="B53" s="126" t="s">
        <v>386</v>
      </c>
      <c r="C53" s="126" t="s">
        <v>387</v>
      </c>
      <c r="D53" s="126" t="s">
        <v>388</v>
      </c>
      <c r="G53" s="126" t="s">
        <v>415</v>
      </c>
      <c r="I53" s="126" t="s">
        <v>601</v>
      </c>
      <c r="J53" s="126" t="s">
        <v>622</v>
      </c>
      <c r="K53" s="126" t="s">
        <v>578</v>
      </c>
      <c r="M53" s="126" t="s">
        <v>579</v>
      </c>
    </row>
    <row r="54" spans="1:13" x14ac:dyDescent="0.25">
      <c r="A54" s="126" t="s">
        <v>147</v>
      </c>
      <c r="B54" s="126" t="s">
        <v>391</v>
      </c>
      <c r="C54" s="126" t="s">
        <v>392</v>
      </c>
      <c r="D54" s="126" t="s">
        <v>393</v>
      </c>
      <c r="G54" s="126" t="s">
        <v>416</v>
      </c>
      <c r="I54" s="126" t="s">
        <v>602</v>
      </c>
      <c r="J54" s="126" t="s">
        <v>623</v>
      </c>
      <c r="K54" s="126" t="s">
        <v>580</v>
      </c>
      <c r="M54" s="126" t="s">
        <v>581</v>
      </c>
    </row>
    <row r="55" spans="1:13" x14ac:dyDescent="0.25">
      <c r="A55" s="126" t="s">
        <v>2</v>
      </c>
    </row>
    <row r="57" spans="1:13" x14ac:dyDescent="0.25">
      <c r="B57" s="126" t="s">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2"/>
  <sheetViews>
    <sheetView topLeftCell="B2" workbookViewId="0"/>
  </sheetViews>
  <sheetFormatPr defaultColWidth="11.42578125" defaultRowHeight="15" x14ac:dyDescent="0.25"/>
  <cols>
    <col min="1" max="1" width="11.42578125" hidden="1" customWidth="1"/>
    <col min="2" max="2" width="12.7109375" bestFit="1" customWidth="1"/>
    <col min="3" max="3" width="40" bestFit="1" customWidth="1"/>
    <col min="4" max="4" width="22" bestFit="1" customWidth="1"/>
    <col min="5" max="5" width="8.42578125" bestFit="1" customWidth="1"/>
    <col min="6" max="6" width="22.7109375" customWidth="1"/>
    <col min="8" max="8" width="37.42578125" bestFit="1" customWidth="1"/>
    <col min="10" max="10" width="12.7109375" bestFit="1" customWidth="1"/>
  </cols>
  <sheetData>
    <row r="1" spans="1:15" hidden="1" x14ac:dyDescent="0.25">
      <c r="A1" t="s">
        <v>627</v>
      </c>
      <c r="C1" t="s">
        <v>3</v>
      </c>
      <c r="D1" t="s">
        <v>4</v>
      </c>
      <c r="E1" t="s">
        <v>0</v>
      </c>
      <c r="F1" t="s">
        <v>53</v>
      </c>
    </row>
    <row r="4" spans="1:15" x14ac:dyDescent="0.25">
      <c r="C4" s="127" t="s">
        <v>5</v>
      </c>
      <c r="D4" s="128"/>
      <c r="E4" s="129"/>
    </row>
    <row r="5" spans="1:15" x14ac:dyDescent="0.25">
      <c r="A5" t="s">
        <v>1</v>
      </c>
      <c r="C5" s="48" t="s">
        <v>11</v>
      </c>
      <c r="D5" s="60" t="str">
        <f>"01/01/2018..12/01/2018"</f>
        <v>01/01/2018..12/01/2018</v>
      </c>
      <c r="E5" s="21"/>
      <c r="F5" s="115" t="s">
        <v>52</v>
      </c>
    </row>
    <row r="6" spans="1:15" x14ac:dyDescent="0.25">
      <c r="A6" t="s">
        <v>1</v>
      </c>
      <c r="C6" s="48" t="s">
        <v>12</v>
      </c>
      <c r="D6" s="60" t="str">
        <f>"01/01/2017..12/01/2017"</f>
        <v>01/01/2017..12/01/2017</v>
      </c>
      <c r="E6" s="21"/>
      <c r="F6" s="115" t="s">
        <v>52</v>
      </c>
    </row>
    <row r="7" spans="1:15" x14ac:dyDescent="0.25">
      <c r="A7" t="s">
        <v>1</v>
      </c>
      <c r="C7" s="48" t="s">
        <v>30</v>
      </c>
      <c r="D7" s="7" t="s">
        <v>32</v>
      </c>
      <c r="E7" s="21" t="str">
        <f>"Lookup"</f>
        <v>Lookup</v>
      </c>
    </row>
    <row r="8" spans="1:15" x14ac:dyDescent="0.25">
      <c r="A8" t="s">
        <v>1</v>
      </c>
      <c r="C8" s="48" t="s">
        <v>29</v>
      </c>
      <c r="D8" s="49" t="s">
        <v>32</v>
      </c>
      <c r="E8" s="21" t="str">
        <f>"Lookup"</f>
        <v>Lookup</v>
      </c>
      <c r="G8" s="42"/>
      <c r="H8" s="42"/>
      <c r="I8" s="42"/>
      <c r="J8" s="42"/>
      <c r="K8" s="42"/>
      <c r="L8" s="42"/>
      <c r="M8" s="42"/>
      <c r="N8" s="42"/>
      <c r="O8" s="42"/>
    </row>
    <row r="9" spans="1:15" x14ac:dyDescent="0.25">
      <c r="A9" t="s">
        <v>1</v>
      </c>
      <c r="C9" s="48" t="s">
        <v>34</v>
      </c>
      <c r="D9" s="7">
        <v>10</v>
      </c>
      <c r="E9" s="21"/>
    </row>
    <row r="10" spans="1:15" x14ac:dyDescent="0.25">
      <c r="A10" t="s">
        <v>1</v>
      </c>
      <c r="C10" s="48" t="s">
        <v>6</v>
      </c>
      <c r="D10" s="7" t="str">
        <f>"Sorted by Amount"</f>
        <v>Sorted by Amount</v>
      </c>
      <c r="E10" s="21" t="str">
        <f>"Lookup"</f>
        <v>Lookup</v>
      </c>
    </row>
    <row r="11" spans="1:15" x14ac:dyDescent="0.25">
      <c r="A11" t="s">
        <v>1</v>
      </c>
      <c r="C11" s="48" t="s">
        <v>45</v>
      </c>
      <c r="D11" s="50">
        <v>100</v>
      </c>
      <c r="E11" s="21" t="str">
        <f>"Lookup"</f>
        <v>Lookup</v>
      </c>
    </row>
    <row r="12" spans="1:15" x14ac:dyDescent="0.25">
      <c r="C12" s="51" t="s">
        <v>46</v>
      </c>
      <c r="D12" s="53">
        <v>500</v>
      </c>
      <c r="E12" s="52"/>
    </row>
  </sheetData>
  <mergeCells count="1">
    <mergeCell ref="C4:E4"/>
  </mergeCells>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N62"/>
  <sheetViews>
    <sheetView showGridLines="0" topLeftCell="E3" zoomScale="75" zoomScaleNormal="75" zoomScaleSheetLayoutView="93" workbookViewId="0"/>
  </sheetViews>
  <sheetFormatPr defaultColWidth="11.42578125" defaultRowHeight="15" x14ac:dyDescent="0.25"/>
  <cols>
    <col min="1" max="1" width="11.42578125" style="9" hidden="1" customWidth="1"/>
    <col min="2" max="2" width="11.28515625" style="9" hidden="1" customWidth="1"/>
    <col min="3" max="3" width="19.28515625" style="9" hidden="1" customWidth="1"/>
    <col min="4" max="4" width="23.42578125" style="9" hidden="1" customWidth="1"/>
    <col min="5" max="5" width="7.42578125" style="4" customWidth="1"/>
    <col min="6" max="6" width="8.85546875" style="4" bestFit="1" customWidth="1"/>
    <col min="7" max="7" width="25" bestFit="1" customWidth="1"/>
    <col min="8" max="8" width="33.28515625" bestFit="1" customWidth="1"/>
    <col min="9" max="10" width="27.5703125" style="1" bestFit="1" customWidth="1"/>
    <col min="11" max="11" width="12.42578125" bestFit="1" customWidth="1"/>
    <col min="12" max="12" width="13.5703125" customWidth="1"/>
    <col min="13" max="13" width="12.42578125" bestFit="1" customWidth="1"/>
    <col min="14" max="14" width="13.5703125" customWidth="1"/>
    <col min="15" max="16" width="28.140625" bestFit="1" customWidth="1"/>
    <col min="17" max="17" width="19.7109375" customWidth="1"/>
    <col min="18" max="18" width="17.28515625" hidden="1" customWidth="1"/>
    <col min="19" max="19" width="15.140625" bestFit="1" customWidth="1"/>
  </cols>
  <sheetData>
    <row r="1" spans="1:19" s="9" customFormat="1" hidden="1" x14ac:dyDescent="0.25">
      <c r="A1" s="9" t="s">
        <v>629</v>
      </c>
      <c r="B1" s="9" t="s">
        <v>36</v>
      </c>
      <c r="C1" s="9" t="s">
        <v>13</v>
      </c>
      <c r="D1" s="9" t="s">
        <v>13</v>
      </c>
      <c r="F1" s="9" t="s">
        <v>10</v>
      </c>
      <c r="G1" s="9" t="s">
        <v>10</v>
      </c>
      <c r="H1" s="9" t="s">
        <v>10</v>
      </c>
      <c r="I1" s="10"/>
      <c r="J1" s="10"/>
      <c r="K1" s="9" t="s">
        <v>10</v>
      </c>
      <c r="M1" s="9" t="s">
        <v>10</v>
      </c>
      <c r="R1" s="9" t="s">
        <v>2</v>
      </c>
      <c r="S1" s="9" t="s">
        <v>38</v>
      </c>
    </row>
    <row r="2" spans="1:19" s="9" customFormat="1" hidden="1" x14ac:dyDescent="0.25">
      <c r="A2" s="9" t="s">
        <v>2</v>
      </c>
      <c r="I2" s="10"/>
      <c r="J2" s="10"/>
      <c r="K2" s="9" t="s">
        <v>19</v>
      </c>
      <c r="M2" s="9" t="s">
        <v>19</v>
      </c>
    </row>
    <row r="3" spans="1:19" x14ac:dyDescent="0.25">
      <c r="C3" s="11" t="s">
        <v>11</v>
      </c>
      <c r="D3" s="12" t="str">
        <f>Most_recent_Period</f>
        <v>01/01/2018..12/01/2018</v>
      </c>
      <c r="E3"/>
      <c r="F3"/>
      <c r="I3"/>
      <c r="J3"/>
    </row>
    <row r="4" spans="1:19" ht="30.75" x14ac:dyDescent="0.55000000000000004">
      <c r="C4" s="11" t="s">
        <v>12</v>
      </c>
      <c r="D4" s="12" t="str">
        <f>Prior_Period</f>
        <v>01/01/2017..12/01/2017</v>
      </c>
      <c r="E4"/>
      <c r="F4" s="147" t="s">
        <v>39</v>
      </c>
      <c r="G4" s="147"/>
      <c r="H4" s="147"/>
      <c r="I4" s="147"/>
      <c r="J4"/>
    </row>
    <row r="5" spans="1:19" ht="20.25" x14ac:dyDescent="0.35">
      <c r="C5" s="11" t="s">
        <v>30</v>
      </c>
      <c r="D5" s="12" t="str">
        <f>Vendor_Posting_group</f>
        <v>*</v>
      </c>
      <c r="E5"/>
      <c r="F5" s="148" t="str">
        <f>" from "&amp;$D$4&amp;" to "&amp;$D$3</f>
        <v xml:space="preserve"> from 01/01/2017..12/01/2017 to 01/01/2018..12/01/2018</v>
      </c>
      <c r="G5" s="148"/>
      <c r="H5" s="148"/>
      <c r="I5" s="148"/>
      <c r="J5"/>
    </row>
    <row r="6" spans="1:19" x14ac:dyDescent="0.25">
      <c r="C6" s="11" t="s">
        <v>29</v>
      </c>
      <c r="D6" s="12" t="str">
        <f>Country_Code</f>
        <v>*</v>
      </c>
      <c r="E6"/>
      <c r="F6"/>
      <c r="I6"/>
      <c r="J6"/>
    </row>
    <row r="7" spans="1:19" ht="17.25" x14ac:dyDescent="0.3">
      <c r="C7" s="11" t="s">
        <v>34</v>
      </c>
      <c r="D7" s="12">
        <f>No_of_Vendors_Desplayed</f>
        <v>10</v>
      </c>
      <c r="E7"/>
      <c r="F7"/>
      <c r="G7" s="116" t="str">
        <f>C5</f>
        <v>Vendor Posting Group</v>
      </c>
      <c r="H7" s="117" t="str">
        <f>D5</f>
        <v>*</v>
      </c>
      <c r="I7"/>
      <c r="J7"/>
    </row>
    <row r="8" spans="1:19" ht="17.25" x14ac:dyDescent="0.3">
      <c r="C8" s="11" t="s">
        <v>6</v>
      </c>
      <c r="D8" s="12" t="str">
        <f>Sorting</f>
        <v>Sorted by Amount</v>
      </c>
      <c r="E8"/>
      <c r="F8"/>
      <c r="G8" s="116" t="str">
        <f>C6</f>
        <v>Country Code</v>
      </c>
      <c r="H8" s="117" t="str">
        <f>D6</f>
        <v>*</v>
      </c>
      <c r="I8"/>
      <c r="J8"/>
    </row>
    <row r="9" spans="1:19" ht="17.25" x14ac:dyDescent="0.3">
      <c r="C9" s="11" t="s">
        <v>45</v>
      </c>
      <c r="D9" s="12">
        <f>Sales_Exceeding</f>
        <v>100</v>
      </c>
      <c r="F9" s="63"/>
      <c r="G9" s="65"/>
      <c r="H9" s="65"/>
      <c r="I9" s="65"/>
      <c r="J9" s="65"/>
      <c r="K9" s="62"/>
      <c r="L9" s="62"/>
      <c r="M9" s="62"/>
      <c r="N9" s="62"/>
      <c r="O9" s="62"/>
      <c r="P9" s="62"/>
      <c r="Q9" s="62"/>
      <c r="R9" s="62"/>
      <c r="S9" s="66" t="s">
        <v>21</v>
      </c>
    </row>
    <row r="10" spans="1:19" ht="17.25" x14ac:dyDescent="0.3">
      <c r="C10" s="11" t="s">
        <v>46</v>
      </c>
      <c r="D10" s="12">
        <f>Top_vendors_to_examine</f>
        <v>500</v>
      </c>
      <c r="E10"/>
      <c r="F10" s="149" t="str">
        <f>D8</f>
        <v>Sorted by Amount</v>
      </c>
      <c r="G10" s="149"/>
      <c r="H10" s="149"/>
      <c r="I10"/>
      <c r="J10"/>
      <c r="Q10" s="132">
        <v>43360.401562500003</v>
      </c>
      <c r="R10" s="132"/>
      <c r="S10" s="132"/>
    </row>
    <row r="11" spans="1:19" ht="19.5" customHeight="1" thickBot="1" x14ac:dyDescent="0.55000000000000004">
      <c r="D11" s="12"/>
      <c r="F11" s="63"/>
      <c r="G11" s="64"/>
      <c r="H11" s="64"/>
      <c r="I11" s="64"/>
      <c r="J11" s="61"/>
      <c r="K11" s="62"/>
      <c r="L11" s="62"/>
      <c r="M11" s="62"/>
      <c r="N11" s="135"/>
      <c r="O11" s="135"/>
      <c r="P11" s="135"/>
      <c r="Q11" s="62"/>
      <c r="R11" s="62"/>
      <c r="S11" s="62"/>
    </row>
    <row r="12" spans="1:19" ht="21.95" customHeight="1" x14ac:dyDescent="0.25">
      <c r="D12" s="12"/>
      <c r="E12" s="55"/>
      <c r="F12" s="145" t="s">
        <v>40</v>
      </c>
      <c r="G12" s="142" t="s">
        <v>41</v>
      </c>
      <c r="H12" s="133" t="s">
        <v>16</v>
      </c>
      <c r="I12" s="136" t="s">
        <v>15</v>
      </c>
      <c r="J12" s="133"/>
      <c r="K12" s="136" t="s">
        <v>18</v>
      </c>
      <c r="L12" s="133"/>
      <c r="M12" s="136" t="s">
        <v>7</v>
      </c>
      <c r="N12" s="133"/>
      <c r="O12" s="136" t="s">
        <v>42</v>
      </c>
      <c r="P12" s="133"/>
      <c r="Q12" s="133" t="s">
        <v>30</v>
      </c>
      <c r="R12" s="136" t="s">
        <v>37</v>
      </c>
      <c r="S12" s="105" t="s">
        <v>31</v>
      </c>
    </row>
    <row r="13" spans="1:19" ht="33" customHeight="1" thickBot="1" x14ac:dyDescent="0.3">
      <c r="A13" s="54"/>
      <c r="B13" s="56" t="s">
        <v>44</v>
      </c>
      <c r="C13" s="54"/>
      <c r="D13" s="57" t="s">
        <v>47</v>
      </c>
      <c r="E13" s="55"/>
      <c r="F13" s="146"/>
      <c r="G13" s="143"/>
      <c r="H13" s="134"/>
      <c r="I13" s="112" t="str">
        <f>$D$4</f>
        <v>01/01/2017..12/01/2017</v>
      </c>
      <c r="J13" s="113" t="str">
        <f>$D$3</f>
        <v>01/01/2018..12/01/2018</v>
      </c>
      <c r="K13" s="141"/>
      <c r="L13" s="134"/>
      <c r="M13" s="141"/>
      <c r="N13" s="134"/>
      <c r="O13" s="114" t="str">
        <f>$D$4</f>
        <v>01/01/2017..12/01/2017</v>
      </c>
      <c r="P13" s="113" t="str">
        <f>$D$3</f>
        <v>01/01/2018..12/01/2018</v>
      </c>
      <c r="Q13" s="134"/>
      <c r="R13" s="141"/>
      <c r="S13" s="106"/>
    </row>
    <row r="14" spans="1:19" ht="16.5" x14ac:dyDescent="0.3">
      <c r="B14" s="46" t="str">
        <f>IF(L14=0,"Hide","Show")</f>
        <v>Show</v>
      </c>
      <c r="D14" s="9">
        <v>1</v>
      </c>
      <c r="E14" s="8"/>
      <c r="F14" s="67">
        <f t="shared" ref="F14:F23" si="0">D14</f>
        <v>1</v>
      </c>
      <c r="G14" s="68" t="str">
        <f t="shared" ref="G14:G23" si="1">VLOOKUP($D14,$C$34:$G$55,5,FALSE)</f>
        <v>V100001</v>
      </c>
      <c r="H14" s="69" t="str">
        <f>"Greigner, Inc."</f>
        <v>Greigner, Inc.</v>
      </c>
      <c r="I14" s="70">
        <v>2472761.48</v>
      </c>
      <c r="J14" s="71">
        <v>3455848.97</v>
      </c>
      <c r="K14" s="72">
        <f t="shared" ref="K14:K23" si="2">IF(ISERROR(G14),0,IF((J14&lt;I14),0,J14-I14))</f>
        <v>983087.49000000022</v>
      </c>
      <c r="L14" s="73">
        <f t="shared" ref="L14:L23" si="3">K14</f>
        <v>983087.49000000022</v>
      </c>
      <c r="M14" s="74">
        <f t="shared" ref="M14:M23" si="4">IF(I14&lt;=0,"",K14/I14)</f>
        <v>0.39756664682434323</v>
      </c>
      <c r="N14" s="75">
        <f t="shared" ref="N14:N23" si="5">IF(I14&lt;=0,"Infinite",K14/I14)</f>
        <v>0.39756664682434323</v>
      </c>
      <c r="O14" s="70">
        <v>75</v>
      </c>
      <c r="P14" s="71">
        <v>81</v>
      </c>
      <c r="Q14" s="76" t="str">
        <f>"NA"</f>
        <v>NA</v>
      </c>
      <c r="R14" s="77" t="str">
        <f>"US"</f>
        <v>US</v>
      </c>
      <c r="S14" s="78" t="str">
        <f>"USA"</f>
        <v>USA</v>
      </c>
    </row>
    <row r="15" spans="1:19" ht="16.5" x14ac:dyDescent="0.3">
      <c r="A15" s="9" t="s">
        <v>145</v>
      </c>
      <c r="B15" s="46" t="str">
        <f t="shared" ref="B15:B23" si="6">IF(L15=0,"Hide","Show")</f>
        <v>Show</v>
      </c>
      <c r="D15" s="9">
        <v>2</v>
      </c>
      <c r="E15" s="8"/>
      <c r="F15" s="67">
        <f t="shared" si="0"/>
        <v>2</v>
      </c>
      <c r="G15" s="68" t="str">
        <f t="shared" si="1"/>
        <v>V100007</v>
      </c>
      <c r="H15" s="69" t="str">
        <f>"TrendTech"</f>
        <v>TrendTech</v>
      </c>
      <c r="I15" s="70">
        <v>1612134.7899999998</v>
      </c>
      <c r="J15" s="71">
        <v>2326216.69</v>
      </c>
      <c r="K15" s="72">
        <f t="shared" si="2"/>
        <v>714081.90000000014</v>
      </c>
      <c r="L15" s="73">
        <f t="shared" si="3"/>
        <v>714081.90000000014</v>
      </c>
      <c r="M15" s="74">
        <f t="shared" si="4"/>
        <v>0.44294180885458107</v>
      </c>
      <c r="N15" s="75">
        <f t="shared" si="5"/>
        <v>0.44294180885458107</v>
      </c>
      <c r="O15" s="70">
        <v>29</v>
      </c>
      <c r="P15" s="71">
        <v>27</v>
      </c>
      <c r="Q15" s="76" t="str">
        <f>"NA"</f>
        <v>NA</v>
      </c>
      <c r="R15" s="77" t="str">
        <f>"US"</f>
        <v>US</v>
      </c>
      <c r="S15" s="78" t="str">
        <f>"USA"</f>
        <v>USA</v>
      </c>
    </row>
    <row r="16" spans="1:19" ht="16.5" x14ac:dyDescent="0.3">
      <c r="A16" s="9" t="s">
        <v>145</v>
      </c>
      <c r="B16" s="46" t="str">
        <f t="shared" si="6"/>
        <v>Show</v>
      </c>
      <c r="D16" s="9">
        <v>3</v>
      </c>
      <c r="E16" s="8"/>
      <c r="F16" s="67">
        <f t="shared" si="0"/>
        <v>3</v>
      </c>
      <c r="G16" s="68" t="str">
        <f t="shared" si="1"/>
        <v>V100040</v>
      </c>
      <c r="H16" s="69" t="str">
        <f>"Technische Betriebe Rotkreuz"</f>
        <v>Technische Betriebe Rotkreuz</v>
      </c>
      <c r="I16" s="70">
        <v>1195282.8400000001</v>
      </c>
      <c r="J16" s="71">
        <v>1597551.43</v>
      </c>
      <c r="K16" s="72">
        <f t="shared" si="2"/>
        <v>402268.58999999985</v>
      </c>
      <c r="L16" s="73">
        <f t="shared" si="3"/>
        <v>402268.58999999985</v>
      </c>
      <c r="M16" s="74">
        <f t="shared" si="4"/>
        <v>0.33654677917069387</v>
      </c>
      <c r="N16" s="75">
        <f t="shared" si="5"/>
        <v>0.33654677917069387</v>
      </c>
      <c r="O16" s="70">
        <v>29</v>
      </c>
      <c r="P16" s="71">
        <v>28</v>
      </c>
      <c r="Q16" s="76" t="str">
        <f>"OTHER"</f>
        <v>OTHER</v>
      </c>
      <c r="R16" s="77" t="str">
        <f>"CH"</f>
        <v>CH</v>
      </c>
      <c r="S16" s="78" t="str">
        <f>"Switzerland"</f>
        <v>Switzerland</v>
      </c>
    </row>
    <row r="17" spans="1:19" ht="16.5" x14ac:dyDescent="0.3">
      <c r="A17" s="9" t="s">
        <v>145</v>
      </c>
      <c r="B17" s="46" t="str">
        <f t="shared" si="6"/>
        <v>Show</v>
      </c>
      <c r="D17" s="9">
        <v>4</v>
      </c>
      <c r="E17" s="8"/>
      <c r="F17" s="67">
        <f t="shared" si="0"/>
        <v>4</v>
      </c>
      <c r="G17" s="68" t="str">
        <f t="shared" si="1"/>
        <v>V100003</v>
      </c>
      <c r="H17" s="69" t="str">
        <f>"LogoMasters"</f>
        <v>LogoMasters</v>
      </c>
      <c r="I17" s="70">
        <v>928349.59</v>
      </c>
      <c r="J17" s="71">
        <v>1306851.07</v>
      </c>
      <c r="K17" s="72">
        <f t="shared" si="2"/>
        <v>378501.4800000001</v>
      </c>
      <c r="L17" s="73">
        <f t="shared" si="3"/>
        <v>378501.4800000001</v>
      </c>
      <c r="M17" s="74">
        <f t="shared" si="4"/>
        <v>0.40771438268206711</v>
      </c>
      <c r="N17" s="75">
        <f t="shared" si="5"/>
        <v>0.40771438268206711</v>
      </c>
      <c r="O17" s="70">
        <v>31</v>
      </c>
      <c r="P17" s="71">
        <v>32</v>
      </c>
      <c r="Q17" s="76" t="str">
        <f>"NA"</f>
        <v>NA</v>
      </c>
      <c r="R17" s="77" t="str">
        <f>"US"</f>
        <v>US</v>
      </c>
      <c r="S17" s="78" t="str">
        <f>"USA"</f>
        <v>USA</v>
      </c>
    </row>
    <row r="18" spans="1:19" ht="16.5" x14ac:dyDescent="0.3">
      <c r="A18" s="9" t="s">
        <v>145</v>
      </c>
      <c r="B18" s="46" t="str">
        <f t="shared" si="6"/>
        <v>Show</v>
      </c>
      <c r="D18" s="9">
        <v>5</v>
      </c>
      <c r="E18" s="8"/>
      <c r="F18" s="67">
        <f t="shared" si="0"/>
        <v>5</v>
      </c>
      <c r="G18" s="68" t="str">
        <f t="shared" si="1"/>
        <v>V100047</v>
      </c>
      <c r="H18" s="69" t="str">
        <f>"WoodMart Supply Co."</f>
        <v>WoodMart Supply Co.</v>
      </c>
      <c r="I18" s="70">
        <v>214219.37</v>
      </c>
      <c r="J18" s="71">
        <v>311313.98000000004</v>
      </c>
      <c r="K18" s="72">
        <f t="shared" si="2"/>
        <v>97094.610000000044</v>
      </c>
      <c r="L18" s="73">
        <f t="shared" si="3"/>
        <v>97094.610000000044</v>
      </c>
      <c r="M18" s="74">
        <f t="shared" si="4"/>
        <v>0.45324850875996903</v>
      </c>
      <c r="N18" s="75">
        <f t="shared" si="5"/>
        <v>0.45324850875996903</v>
      </c>
      <c r="O18" s="70">
        <v>29</v>
      </c>
      <c r="P18" s="71">
        <v>27</v>
      </c>
      <c r="Q18" s="76" t="str">
        <f>"EU"</f>
        <v>EU</v>
      </c>
      <c r="R18" s="77" t="str">
        <f>"GB"</f>
        <v>GB</v>
      </c>
      <c r="S18" s="78" t="str">
        <f>"Great Britain"</f>
        <v>Great Britain</v>
      </c>
    </row>
    <row r="19" spans="1:19" ht="16.5" x14ac:dyDescent="0.3">
      <c r="A19" s="9" t="s">
        <v>145</v>
      </c>
      <c r="B19" s="46" t="str">
        <f t="shared" si="6"/>
        <v>Show</v>
      </c>
      <c r="D19" s="9">
        <v>6</v>
      </c>
      <c r="E19" s="8"/>
      <c r="F19" s="67">
        <f t="shared" si="0"/>
        <v>6</v>
      </c>
      <c r="G19" s="68" t="str">
        <f t="shared" si="1"/>
        <v>V100009</v>
      </c>
      <c r="H19" s="69" t="str">
        <f>"Malay-Dan Export Unit Sdn Bhd"</f>
        <v>Malay-Dan Export Unit Sdn Bhd</v>
      </c>
      <c r="I19" s="70">
        <v>513298.18999999994</v>
      </c>
      <c r="J19" s="71">
        <v>601434.53</v>
      </c>
      <c r="K19" s="72">
        <f t="shared" si="2"/>
        <v>88136.340000000084</v>
      </c>
      <c r="L19" s="73">
        <f t="shared" si="3"/>
        <v>88136.340000000084</v>
      </c>
      <c r="M19" s="74">
        <f t="shared" si="4"/>
        <v>0.17170592399712162</v>
      </c>
      <c r="N19" s="75">
        <f t="shared" si="5"/>
        <v>0.17170592399712162</v>
      </c>
      <c r="O19" s="70">
        <v>18</v>
      </c>
      <c r="P19" s="71">
        <v>16</v>
      </c>
      <c r="Q19" s="76" t="str">
        <f>"OTHER"</f>
        <v>OTHER</v>
      </c>
      <c r="R19" s="77" t="str">
        <f>"MY"</f>
        <v>MY</v>
      </c>
      <c r="S19" s="78" t="str">
        <f>"Malaysia"</f>
        <v>Malaysia</v>
      </c>
    </row>
    <row r="20" spans="1:19" ht="16.5" x14ac:dyDescent="0.3">
      <c r="A20" s="9" t="s">
        <v>145</v>
      </c>
      <c r="B20" s="46" t="str">
        <f t="shared" si="6"/>
        <v>Show</v>
      </c>
      <c r="D20" s="9">
        <v>7</v>
      </c>
      <c r="E20" s="8"/>
      <c r="F20" s="67">
        <f t="shared" si="0"/>
        <v>7</v>
      </c>
      <c r="G20" s="68" t="str">
        <f t="shared" si="1"/>
        <v>V100071</v>
      </c>
      <c r="H20" s="69" t="str">
        <f>"DHS Global Shipping"</f>
        <v>DHS Global Shipping</v>
      </c>
      <c r="I20" s="70">
        <v>386470.44</v>
      </c>
      <c r="J20" s="71">
        <v>427201.76</v>
      </c>
      <c r="K20" s="72">
        <f t="shared" si="2"/>
        <v>40731.320000000007</v>
      </c>
      <c r="L20" s="73">
        <f t="shared" si="3"/>
        <v>40731.320000000007</v>
      </c>
      <c r="M20" s="74">
        <f t="shared" si="4"/>
        <v>0.1053931058737636</v>
      </c>
      <c r="N20" s="75">
        <f t="shared" si="5"/>
        <v>0.1053931058737636</v>
      </c>
      <c r="O20" s="70">
        <v>66</v>
      </c>
      <c r="P20" s="71">
        <v>66</v>
      </c>
      <c r="Q20" s="76" t="str">
        <f>"NA"</f>
        <v>NA</v>
      </c>
      <c r="R20" s="77" t="str">
        <f>"US"</f>
        <v>US</v>
      </c>
      <c r="S20" s="78" t="str">
        <f>"USA"</f>
        <v>USA</v>
      </c>
    </row>
    <row r="21" spans="1:19" ht="16.5" x14ac:dyDescent="0.3">
      <c r="A21" s="9" t="s">
        <v>145</v>
      </c>
      <c r="B21" s="46" t="str">
        <f t="shared" si="6"/>
        <v>Show</v>
      </c>
      <c r="D21" s="9">
        <v>8</v>
      </c>
      <c r="E21" s="8"/>
      <c r="F21" s="67">
        <f t="shared" si="0"/>
        <v>8</v>
      </c>
      <c r="G21" s="68" t="str">
        <f t="shared" si="1"/>
        <v>V100006</v>
      </c>
      <c r="H21" s="69" t="str">
        <f>"Lion Marketing"</f>
        <v>Lion Marketing</v>
      </c>
      <c r="I21" s="70">
        <v>630807.73</v>
      </c>
      <c r="J21" s="71">
        <v>657992.17999999993</v>
      </c>
      <c r="K21" s="72">
        <f t="shared" si="2"/>
        <v>27184.449999999953</v>
      </c>
      <c r="L21" s="73">
        <f t="shared" si="3"/>
        <v>27184.449999999953</v>
      </c>
      <c r="M21" s="74">
        <f t="shared" si="4"/>
        <v>4.3094668481630613E-2</v>
      </c>
      <c r="N21" s="75">
        <f t="shared" si="5"/>
        <v>4.3094668481630613E-2</v>
      </c>
      <c r="O21" s="70">
        <v>132</v>
      </c>
      <c r="P21" s="71">
        <v>132</v>
      </c>
      <c r="Q21" s="76" t="str">
        <f>"NA"</f>
        <v>NA</v>
      </c>
      <c r="R21" s="77" t="str">
        <f>"CA"</f>
        <v>CA</v>
      </c>
      <c r="S21" s="78" t="str">
        <f>"Canada"</f>
        <v>Canada</v>
      </c>
    </row>
    <row r="22" spans="1:19" ht="16.5" x14ac:dyDescent="0.3">
      <c r="A22" s="9" t="s">
        <v>145</v>
      </c>
      <c r="B22" s="46" t="str">
        <f t="shared" si="6"/>
        <v>Show</v>
      </c>
      <c r="D22" s="9">
        <v>9</v>
      </c>
      <c r="E22" s="8"/>
      <c r="F22" s="67">
        <f t="shared" si="0"/>
        <v>9</v>
      </c>
      <c r="G22" s="68" t="str">
        <f t="shared" si="1"/>
        <v>V100069</v>
      </c>
      <c r="H22" s="69" t="str">
        <f>"AMEX"</f>
        <v>AMEX</v>
      </c>
      <c r="I22" s="70">
        <v>135503.95000000001</v>
      </c>
      <c r="J22" s="71">
        <v>138603.6</v>
      </c>
      <c r="K22" s="72">
        <f t="shared" si="2"/>
        <v>3099.6499999999942</v>
      </c>
      <c r="L22" s="73">
        <f t="shared" si="3"/>
        <v>3099.6499999999942</v>
      </c>
      <c r="M22" s="74">
        <f t="shared" si="4"/>
        <v>2.2874978921278634E-2</v>
      </c>
      <c r="N22" s="75">
        <f t="shared" si="5"/>
        <v>2.2874978921278634E-2</v>
      </c>
      <c r="O22" s="70">
        <v>540</v>
      </c>
      <c r="P22" s="71">
        <v>539</v>
      </c>
      <c r="Q22" s="76" t="str">
        <f>"NA"</f>
        <v>NA</v>
      </c>
      <c r="R22" s="77" t="str">
        <f>"US"</f>
        <v>US</v>
      </c>
      <c r="S22" s="78" t="str">
        <f>"USA"</f>
        <v>USA</v>
      </c>
    </row>
    <row r="23" spans="1:19" ht="16.5" hidden="1" x14ac:dyDescent="0.3">
      <c r="A23" s="9" t="s">
        <v>145</v>
      </c>
      <c r="B23" s="46" t="str">
        <f t="shared" si="6"/>
        <v>Hide</v>
      </c>
      <c r="D23" s="9">
        <v>10</v>
      </c>
      <c r="E23" s="8"/>
      <c r="F23" s="67">
        <f t="shared" si="0"/>
        <v>10</v>
      </c>
      <c r="G23" s="68" t="str">
        <f t="shared" si="1"/>
        <v>V100002</v>
      </c>
      <c r="H23" s="69" t="str">
        <f>"Marley Printing, Inc"</f>
        <v>Marley Printing, Inc</v>
      </c>
      <c r="I23" s="70">
        <v>352.8</v>
      </c>
      <c r="J23" s="71">
        <v>264.60000000000002</v>
      </c>
      <c r="K23" s="72">
        <f t="shared" si="2"/>
        <v>0</v>
      </c>
      <c r="L23" s="73">
        <f t="shared" si="3"/>
        <v>0</v>
      </c>
      <c r="M23" s="74">
        <f t="shared" si="4"/>
        <v>0</v>
      </c>
      <c r="N23" s="75">
        <f t="shared" si="5"/>
        <v>0</v>
      </c>
      <c r="O23" s="70">
        <v>2</v>
      </c>
      <c r="P23" s="71">
        <v>1</v>
      </c>
      <c r="Q23" s="76" t="str">
        <f>"NA"</f>
        <v>NA</v>
      </c>
      <c r="R23" s="77" t="str">
        <f>"US"</f>
        <v>US</v>
      </c>
      <c r="S23" s="78" t="str">
        <f>"USA"</f>
        <v>USA</v>
      </c>
    </row>
    <row r="24" spans="1:19" ht="21" thickBot="1" x14ac:dyDescent="0.4">
      <c r="E24" s="8"/>
      <c r="F24" s="79"/>
      <c r="G24" s="80"/>
      <c r="H24" s="81"/>
      <c r="I24" s="82"/>
      <c r="J24" s="83"/>
      <c r="K24" s="84"/>
      <c r="L24" s="85"/>
      <c r="M24" s="86"/>
      <c r="N24" s="87"/>
      <c r="O24" s="88"/>
      <c r="P24" s="83"/>
      <c r="Q24" s="89"/>
      <c r="R24" s="82"/>
      <c r="S24" s="90"/>
    </row>
    <row r="25" spans="1:19" ht="20.25" x14ac:dyDescent="0.35">
      <c r="E25" s="8"/>
      <c r="F25" s="91"/>
      <c r="G25" s="92"/>
      <c r="H25" s="92"/>
      <c r="I25" s="93"/>
      <c r="J25" s="93"/>
      <c r="K25" s="94"/>
      <c r="L25" s="94"/>
      <c r="M25" s="94"/>
      <c r="N25" s="94"/>
      <c r="O25" s="94"/>
      <c r="P25" s="94"/>
      <c r="Q25" s="94"/>
      <c r="R25" s="94"/>
      <c r="S25" s="62"/>
    </row>
    <row r="26" spans="1:19" ht="17.25" x14ac:dyDescent="0.3">
      <c r="E26" s="8"/>
      <c r="F26" s="91"/>
      <c r="G26" s="139" t="str">
        <f>"Vendors with purchase activity of less than "&amp;D9 &amp;" not shown"</f>
        <v>Vendors with purchase activity of less than 100 not shown</v>
      </c>
      <c r="H26" s="139"/>
      <c r="I26" s="139"/>
      <c r="J26" s="139"/>
      <c r="K26" s="139"/>
      <c r="L26" s="94"/>
      <c r="M26" s="94"/>
      <c r="N26" s="94"/>
      <c r="O26" s="94"/>
      <c r="P26" s="94"/>
      <c r="Q26" s="94"/>
      <c r="R26" s="94"/>
      <c r="S26" s="62"/>
    </row>
    <row r="27" spans="1:19" ht="30" customHeight="1" x14ac:dyDescent="0.35">
      <c r="E27" s="8"/>
      <c r="F27" s="91"/>
      <c r="G27" s="92"/>
      <c r="H27" s="92"/>
      <c r="I27" s="93"/>
      <c r="J27" s="93"/>
      <c r="K27" s="94"/>
      <c r="L27" s="94"/>
      <c r="M27" s="94"/>
      <c r="N27" s="94"/>
      <c r="O27" s="94"/>
      <c r="P27" s="94"/>
      <c r="Q27" s="94"/>
      <c r="R27" s="94"/>
      <c r="S27" s="62"/>
    </row>
    <row r="28" spans="1:19" ht="15.75" customHeight="1" x14ac:dyDescent="0.25">
      <c r="E28" s="8"/>
      <c r="F28" s="8"/>
      <c r="G28" s="2"/>
      <c r="H28" s="2"/>
      <c r="I28" s="3"/>
      <c r="J28" s="3"/>
      <c r="K28" s="7"/>
      <c r="L28" s="7"/>
      <c r="M28" s="7"/>
      <c r="N28" s="7"/>
      <c r="O28" s="7"/>
      <c r="P28" s="7"/>
      <c r="Q28" s="7"/>
      <c r="R28" s="7"/>
    </row>
    <row r="29" spans="1:19" ht="18" x14ac:dyDescent="0.25">
      <c r="E29" s="8"/>
      <c r="F29" s="8"/>
      <c r="G29" s="2"/>
      <c r="H29" s="2"/>
      <c r="I29" s="3"/>
      <c r="J29" s="3"/>
      <c r="K29" s="7"/>
      <c r="L29" s="7"/>
      <c r="M29" s="7"/>
      <c r="N29" s="7"/>
      <c r="O29" s="7"/>
      <c r="P29" s="7"/>
      <c r="Q29" s="7"/>
      <c r="R29" s="7"/>
    </row>
    <row r="30" spans="1:19" ht="18.75" hidden="1" x14ac:dyDescent="0.3">
      <c r="A30" s="9" t="s">
        <v>13</v>
      </c>
      <c r="E30" s="8"/>
      <c r="F30" s="8"/>
      <c r="G30" s="140" t="str">
        <f>"This section gathers sales data for the top "&amp;D10&amp;" vendors and ranks them by sales increase.  The rankings are used in the section above to display the top "&amp;D7&amp;" vendors."</f>
        <v>This section gathers sales data for the top 500 vendors and ranks them by sales increase.  The rankings are used in the section above to display the top 10 vendors.</v>
      </c>
      <c r="H30" s="140"/>
      <c r="I30" s="140"/>
      <c r="J30" s="140"/>
      <c r="K30" s="140"/>
      <c r="L30" s="140"/>
      <c r="M30" s="140"/>
      <c r="N30" s="140"/>
      <c r="O30" s="140"/>
      <c r="P30" s="140"/>
      <c r="Q30" s="140"/>
      <c r="R30" s="47"/>
    </row>
    <row r="31" spans="1:19" ht="21" hidden="1" x14ac:dyDescent="0.35">
      <c r="A31" s="9" t="s">
        <v>13</v>
      </c>
      <c r="E31" s="8"/>
      <c r="F31" s="8"/>
      <c r="G31" s="35"/>
      <c r="H31" s="36"/>
      <c r="I31" s="137" t="s">
        <v>15</v>
      </c>
      <c r="J31" s="138"/>
      <c r="K31" s="37"/>
      <c r="L31" s="37"/>
      <c r="M31" s="37"/>
      <c r="N31" s="38"/>
    </row>
    <row r="32" spans="1:19" ht="18" hidden="1" customHeight="1" thickBot="1" x14ac:dyDescent="0.3">
      <c r="A32" s="9" t="s">
        <v>13</v>
      </c>
      <c r="D32" s="15"/>
      <c r="E32" s="8"/>
      <c r="F32" s="8"/>
      <c r="G32" s="39" t="s">
        <v>14</v>
      </c>
      <c r="H32" s="40"/>
      <c r="I32" s="41" t="str">
        <f>$D$4</f>
        <v>01/01/2017..12/01/2017</v>
      </c>
      <c r="J32" s="43" t="str">
        <f>$D$3</f>
        <v>01/01/2018..12/01/2018</v>
      </c>
      <c r="K32" s="130" t="s">
        <v>18</v>
      </c>
      <c r="L32" s="131"/>
      <c r="M32" s="131" t="s">
        <v>7</v>
      </c>
      <c r="N32" s="144"/>
    </row>
    <row r="33" spans="1:66" hidden="1" x14ac:dyDescent="0.25">
      <c r="A33" s="9" t="s">
        <v>13</v>
      </c>
      <c r="B33" s="9" t="s">
        <v>9</v>
      </c>
      <c r="C33" s="9" t="s">
        <v>8</v>
      </c>
      <c r="D33" s="16"/>
      <c r="E33" s="8"/>
      <c r="F33" s="8"/>
      <c r="G33" s="19"/>
      <c r="H33" s="7"/>
      <c r="I33" s="13"/>
      <c r="J33" s="13"/>
      <c r="K33" s="13"/>
      <c r="L33" s="13"/>
      <c r="M33" s="14"/>
      <c r="N33" s="2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row>
    <row r="34" spans="1:66" hidden="1" x14ac:dyDescent="0.25">
      <c r="A34" s="9" t="s">
        <v>13</v>
      </c>
      <c r="B34" s="18">
        <f>IF($D$8="Sorted by Amount",K34-(ROW(K34)/100000),M34-(ROW(M34)/100000))</f>
        <v>983087.4896600002</v>
      </c>
      <c r="C34" s="9">
        <f>RANK(B34,$B$34:$B$55,0)</f>
        <v>1</v>
      </c>
      <c r="D34" s="15" t="str">
        <f>"""NAV Direct"",""CRONUS JetCorp USA"",""23"",""1"",""V100001"""</f>
        <v>"NAV Direct","CRONUS JetCorp USA","23","1","V100001"</v>
      </c>
      <c r="E34" s="8"/>
      <c r="F34" s="8"/>
      <c r="G34" s="19" t="str">
        <f>"V100001"</f>
        <v>V100001</v>
      </c>
      <c r="H34" s="21"/>
      <c r="I34" s="58">
        <v>2472761.48</v>
      </c>
      <c r="J34" s="59">
        <v>3455848.97</v>
      </c>
      <c r="K34" s="23">
        <f t="shared" ref="K34:K54" si="7">J34-I34</f>
        <v>983087.49000000022</v>
      </c>
      <c r="L34" s="13"/>
      <c r="M34" s="14">
        <f t="shared" ref="M34:M54" si="8">IF(I34&lt;=0,999999,J34/I34)</f>
        <v>1.3975666468243433</v>
      </c>
      <c r="N34" s="24"/>
    </row>
    <row r="35" spans="1:66" hidden="1" x14ac:dyDescent="0.25">
      <c r="A35" s="9" t="s">
        <v>146</v>
      </c>
      <c r="B35" s="18">
        <f t="shared" ref="B35:B54" si="9">IF($D$8="Sorted by Amount",K35-(ROW(K35)/100000),M35-(ROW(M35)/100000))</f>
        <v>714081.89965000015</v>
      </c>
      <c r="C35" s="9">
        <f t="shared" ref="C35:C54" si="10">RANK(B35,$B$34:$B$55,0)</f>
        <v>2</v>
      </c>
      <c r="D35" s="15" t="str">
        <f>"""NAV Direct"",""CRONUS JetCorp USA"",""23"",""1"",""V100007"""</f>
        <v>"NAV Direct","CRONUS JetCorp USA","23","1","V100007"</v>
      </c>
      <c r="E35" s="8"/>
      <c r="F35" s="8"/>
      <c r="G35" s="19" t="str">
        <f>"V100007"</f>
        <v>V100007</v>
      </c>
      <c r="H35" s="21"/>
      <c r="I35" s="58">
        <v>1612134.7899999998</v>
      </c>
      <c r="J35" s="59">
        <v>2326216.69</v>
      </c>
      <c r="K35" s="23">
        <f t="shared" si="7"/>
        <v>714081.90000000014</v>
      </c>
      <c r="L35" s="13"/>
      <c r="M35" s="14">
        <f t="shared" si="8"/>
        <v>1.4429418088545811</v>
      </c>
      <c r="N35" s="24"/>
    </row>
    <row r="36" spans="1:66" hidden="1" x14ac:dyDescent="0.25">
      <c r="A36" s="9" t="s">
        <v>146</v>
      </c>
      <c r="B36" s="18">
        <f t="shared" si="9"/>
        <v>402268.58963999985</v>
      </c>
      <c r="C36" s="9">
        <f t="shared" si="10"/>
        <v>3</v>
      </c>
      <c r="D36" s="15" t="str">
        <f>"""NAV Direct"",""CRONUS JetCorp USA"",""23"",""1"",""V100040"""</f>
        <v>"NAV Direct","CRONUS JetCorp USA","23","1","V100040"</v>
      </c>
      <c r="E36" s="8"/>
      <c r="F36" s="8"/>
      <c r="G36" s="19" t="str">
        <f>"V100040"</f>
        <v>V100040</v>
      </c>
      <c r="H36" s="21"/>
      <c r="I36" s="58">
        <v>1195282.8400000001</v>
      </c>
      <c r="J36" s="59">
        <v>1597551.43</v>
      </c>
      <c r="K36" s="23">
        <f t="shared" si="7"/>
        <v>402268.58999999985</v>
      </c>
      <c r="L36" s="13"/>
      <c r="M36" s="14">
        <f t="shared" si="8"/>
        <v>1.336546779170694</v>
      </c>
      <c r="N36" s="24"/>
    </row>
    <row r="37" spans="1:66" hidden="1" x14ac:dyDescent="0.25">
      <c r="A37" s="9" t="s">
        <v>146</v>
      </c>
      <c r="B37" s="18">
        <f t="shared" si="9"/>
        <v>378501.47963000007</v>
      </c>
      <c r="C37" s="9">
        <f t="shared" si="10"/>
        <v>4</v>
      </c>
      <c r="D37" s="15" t="str">
        <f>"""NAV Direct"",""CRONUS JetCorp USA"",""23"",""1"",""V100003"""</f>
        <v>"NAV Direct","CRONUS JetCorp USA","23","1","V100003"</v>
      </c>
      <c r="E37" s="8"/>
      <c r="F37" s="8"/>
      <c r="G37" s="19" t="str">
        <f>"V100003"</f>
        <v>V100003</v>
      </c>
      <c r="H37" s="21"/>
      <c r="I37" s="58">
        <v>928349.59</v>
      </c>
      <c r="J37" s="59">
        <v>1306851.07</v>
      </c>
      <c r="K37" s="23">
        <f t="shared" si="7"/>
        <v>378501.4800000001</v>
      </c>
      <c r="L37" s="13"/>
      <c r="M37" s="14">
        <f t="shared" si="8"/>
        <v>1.4077143826820671</v>
      </c>
      <c r="N37" s="24"/>
    </row>
    <row r="38" spans="1:66" hidden="1" x14ac:dyDescent="0.25">
      <c r="A38" s="9" t="s">
        <v>146</v>
      </c>
      <c r="B38" s="18">
        <f t="shared" si="9"/>
        <v>27184.449619999952</v>
      </c>
      <c r="C38" s="9">
        <f t="shared" si="10"/>
        <v>8</v>
      </c>
      <c r="D38" s="15" t="str">
        <f>"""NAV Direct"",""CRONUS JetCorp USA"",""23"",""1"",""V100006"""</f>
        <v>"NAV Direct","CRONUS JetCorp USA","23","1","V100006"</v>
      </c>
      <c r="E38" s="8"/>
      <c r="F38" s="8"/>
      <c r="G38" s="19" t="str">
        <f>"V100006"</f>
        <v>V100006</v>
      </c>
      <c r="H38" s="21"/>
      <c r="I38" s="58">
        <v>630807.73</v>
      </c>
      <c r="J38" s="59">
        <v>657992.17999999993</v>
      </c>
      <c r="K38" s="23">
        <f t="shared" si="7"/>
        <v>27184.449999999953</v>
      </c>
      <c r="L38" s="13"/>
      <c r="M38" s="14">
        <f t="shared" si="8"/>
        <v>1.0430946684816307</v>
      </c>
      <c r="N38" s="24"/>
    </row>
    <row r="39" spans="1:66" hidden="1" x14ac:dyDescent="0.25">
      <c r="A39" s="9" t="s">
        <v>146</v>
      </c>
      <c r="B39" s="18">
        <f t="shared" si="9"/>
        <v>88136.339610000083</v>
      </c>
      <c r="C39" s="9">
        <f t="shared" si="10"/>
        <v>6</v>
      </c>
      <c r="D39" s="15" t="str">
        <f>"""NAV Direct"",""CRONUS JetCorp USA"",""23"",""1"",""V100009"""</f>
        <v>"NAV Direct","CRONUS JetCorp USA","23","1","V100009"</v>
      </c>
      <c r="E39" s="8"/>
      <c r="F39" s="8"/>
      <c r="G39" s="19" t="str">
        <f>"V100009"</f>
        <v>V100009</v>
      </c>
      <c r="H39" s="21"/>
      <c r="I39" s="58">
        <v>513298.18999999994</v>
      </c>
      <c r="J39" s="59">
        <v>601434.53</v>
      </c>
      <c r="K39" s="23">
        <f t="shared" si="7"/>
        <v>88136.340000000084</v>
      </c>
      <c r="L39" s="13"/>
      <c r="M39" s="14">
        <f t="shared" si="8"/>
        <v>1.1717059239971217</v>
      </c>
      <c r="N39" s="24"/>
    </row>
    <row r="40" spans="1:66" hidden="1" x14ac:dyDescent="0.25">
      <c r="A40" s="9" t="s">
        <v>146</v>
      </c>
      <c r="B40" s="18">
        <f t="shared" si="9"/>
        <v>40731.31960000001</v>
      </c>
      <c r="C40" s="9">
        <f t="shared" si="10"/>
        <v>7</v>
      </c>
      <c r="D40" s="15" t="str">
        <f>"""NAV Direct"",""CRONUS JetCorp USA"",""23"",""1"",""V100071"""</f>
        <v>"NAV Direct","CRONUS JetCorp USA","23","1","V100071"</v>
      </c>
      <c r="E40" s="8"/>
      <c r="F40" s="8"/>
      <c r="G40" s="19" t="str">
        <f>"V100071"</f>
        <v>V100071</v>
      </c>
      <c r="H40" s="21"/>
      <c r="I40" s="58">
        <v>386470.44</v>
      </c>
      <c r="J40" s="59">
        <v>427201.76</v>
      </c>
      <c r="K40" s="23">
        <f t="shared" si="7"/>
        <v>40731.320000000007</v>
      </c>
      <c r="L40" s="13"/>
      <c r="M40" s="14">
        <f t="shared" si="8"/>
        <v>1.1053931058737636</v>
      </c>
      <c r="N40" s="24"/>
    </row>
    <row r="41" spans="1:66" hidden="1" x14ac:dyDescent="0.25">
      <c r="A41" s="9" t="s">
        <v>146</v>
      </c>
      <c r="B41" s="18">
        <f t="shared" si="9"/>
        <v>97094.609590000051</v>
      </c>
      <c r="C41" s="9">
        <f t="shared" si="10"/>
        <v>5</v>
      </c>
      <c r="D41" s="15" t="str">
        <f>"""NAV Direct"",""CRONUS JetCorp USA"",""23"",""1"",""V100047"""</f>
        <v>"NAV Direct","CRONUS JetCorp USA","23","1","V100047"</v>
      </c>
      <c r="E41" s="8"/>
      <c r="F41" s="8"/>
      <c r="G41" s="19" t="str">
        <f>"V100047"</f>
        <v>V100047</v>
      </c>
      <c r="H41" s="21"/>
      <c r="I41" s="58">
        <v>214219.37</v>
      </c>
      <c r="J41" s="59">
        <v>311313.98000000004</v>
      </c>
      <c r="K41" s="23">
        <f t="shared" si="7"/>
        <v>97094.610000000044</v>
      </c>
      <c r="L41" s="13"/>
      <c r="M41" s="14">
        <f t="shared" si="8"/>
        <v>1.4532485087599691</v>
      </c>
      <c r="N41" s="24"/>
    </row>
    <row r="42" spans="1:66" hidden="1" x14ac:dyDescent="0.25">
      <c r="A42" s="9" t="s">
        <v>146</v>
      </c>
      <c r="B42" s="18">
        <f t="shared" si="9"/>
        <v>-64703.660420000029</v>
      </c>
      <c r="C42" s="9">
        <f t="shared" si="10"/>
        <v>21</v>
      </c>
      <c r="D42" s="15" t="str">
        <f>"""NAV Direct"",""CRONUS JetCorp USA"",""23"",""1"",""V100023"""</f>
        <v>"NAV Direct","CRONUS JetCorp USA","23","1","V100023"</v>
      </c>
      <c r="E42" s="8"/>
      <c r="F42" s="8"/>
      <c r="G42" s="19" t="str">
        <f>"V100023"</f>
        <v>V100023</v>
      </c>
      <c r="H42" s="21"/>
      <c r="I42" s="58">
        <v>266174.60000000003</v>
      </c>
      <c r="J42" s="59">
        <v>201470.94</v>
      </c>
      <c r="K42" s="23">
        <f t="shared" si="7"/>
        <v>-64703.660000000033</v>
      </c>
      <c r="L42" s="13"/>
      <c r="M42" s="14">
        <f t="shared" si="8"/>
        <v>0.75691271819324601</v>
      </c>
      <c r="N42" s="24"/>
    </row>
    <row r="43" spans="1:66" hidden="1" x14ac:dyDescent="0.25">
      <c r="A43" s="9" t="s">
        <v>146</v>
      </c>
      <c r="B43" s="18">
        <f t="shared" si="9"/>
        <v>-690.02043000001868</v>
      </c>
      <c r="C43" s="9">
        <f t="shared" si="10"/>
        <v>12</v>
      </c>
      <c r="D43" s="15" t="str">
        <f>"""NAV Direct"",""CRONUS JetCorp USA"",""23"",""1"",""V100005"""</f>
        <v>"NAV Direct","CRONUS JetCorp USA","23","1","V100005"</v>
      </c>
      <c r="E43" s="8"/>
      <c r="F43" s="8"/>
      <c r="G43" s="19" t="str">
        <f>"V100005"</f>
        <v>V100005</v>
      </c>
      <c r="H43" s="21"/>
      <c r="I43" s="58">
        <v>174795.51</v>
      </c>
      <c r="J43" s="59">
        <v>174105.49</v>
      </c>
      <c r="K43" s="23">
        <f t="shared" si="7"/>
        <v>-690.02000000001863</v>
      </c>
      <c r="L43" s="13"/>
      <c r="M43" s="14">
        <f t="shared" si="8"/>
        <v>0.9960524157628533</v>
      </c>
      <c r="N43" s="24"/>
    </row>
    <row r="44" spans="1:66" hidden="1" x14ac:dyDescent="0.25">
      <c r="A44" s="9" t="s">
        <v>146</v>
      </c>
      <c r="B44" s="18">
        <f t="shared" si="9"/>
        <v>3099.6495599999944</v>
      </c>
      <c r="C44" s="9">
        <f t="shared" si="10"/>
        <v>9</v>
      </c>
      <c r="D44" s="15" t="str">
        <f>"""NAV Direct"",""CRONUS JetCorp USA"",""23"",""1"",""V100069"""</f>
        <v>"NAV Direct","CRONUS JetCorp USA","23","1","V100069"</v>
      </c>
      <c r="E44" s="8"/>
      <c r="F44" s="8"/>
      <c r="G44" s="19" t="str">
        <f>"V100069"</f>
        <v>V100069</v>
      </c>
      <c r="H44" s="21"/>
      <c r="I44" s="58">
        <v>135503.95000000001</v>
      </c>
      <c r="J44" s="59">
        <v>138603.6</v>
      </c>
      <c r="K44" s="23">
        <f t="shared" si="7"/>
        <v>3099.6499999999942</v>
      </c>
      <c r="L44" s="13"/>
      <c r="M44" s="14">
        <f t="shared" si="8"/>
        <v>1.0228749789212785</v>
      </c>
      <c r="N44" s="24"/>
    </row>
    <row r="45" spans="1:66" hidden="1" x14ac:dyDescent="0.25">
      <c r="A45" s="9" t="s">
        <v>146</v>
      </c>
      <c r="B45" s="18">
        <f t="shared" si="9"/>
        <v>-19347.370449999995</v>
      </c>
      <c r="C45" s="9">
        <f t="shared" si="10"/>
        <v>19</v>
      </c>
      <c r="D45" s="15" t="str">
        <f>"""NAV Direct"",""CRONUS JetCorp USA"",""23"",""1"",""V100070"""</f>
        <v>"NAV Direct","CRONUS JetCorp USA","23","1","V100070"</v>
      </c>
      <c r="E45" s="8"/>
      <c r="F45" s="8"/>
      <c r="G45" s="19" t="str">
        <f>"V100070"</f>
        <v>V100070</v>
      </c>
      <c r="H45" s="21"/>
      <c r="I45" s="58">
        <v>76378.080000000002</v>
      </c>
      <c r="J45" s="59">
        <v>57030.710000000006</v>
      </c>
      <c r="K45" s="23">
        <f t="shared" si="7"/>
        <v>-19347.369999999995</v>
      </c>
      <c r="L45" s="13"/>
      <c r="M45" s="14">
        <f t="shared" si="8"/>
        <v>0.7466894952059544</v>
      </c>
      <c r="N45" s="24"/>
    </row>
    <row r="46" spans="1:66" hidden="1" x14ac:dyDescent="0.25">
      <c r="A46" s="9" t="s">
        <v>146</v>
      </c>
      <c r="B46" s="18">
        <f t="shared" si="9"/>
        <v>-2287.640459999996</v>
      </c>
      <c r="C46" s="9">
        <f t="shared" si="10"/>
        <v>18</v>
      </c>
      <c r="D46" s="15" t="str">
        <f>"""NAV Direct"",""CRONUS JetCorp USA"",""23"",""1"",""V100078"""</f>
        <v>"NAV Direct","CRONUS JetCorp USA","23","1","V100078"</v>
      </c>
      <c r="E46" s="8"/>
      <c r="F46" s="8"/>
      <c r="G46" s="19" t="str">
        <f>"V100078"</f>
        <v>V100078</v>
      </c>
      <c r="H46" s="21"/>
      <c r="I46" s="58">
        <v>29817.679999999997</v>
      </c>
      <c r="J46" s="59">
        <v>27530.04</v>
      </c>
      <c r="K46" s="23">
        <f t="shared" si="7"/>
        <v>-2287.6399999999958</v>
      </c>
      <c r="L46" s="13"/>
      <c r="M46" s="14">
        <f t="shared" si="8"/>
        <v>0.92327907469662307</v>
      </c>
      <c r="N46" s="24"/>
    </row>
    <row r="47" spans="1:66" hidden="1" x14ac:dyDescent="0.25">
      <c r="A47" s="9" t="s">
        <v>146</v>
      </c>
      <c r="B47" s="18">
        <f t="shared" si="9"/>
        <v>-1773.5304699999951</v>
      </c>
      <c r="C47" s="9">
        <f t="shared" si="10"/>
        <v>15</v>
      </c>
      <c r="D47" s="15" t="str">
        <f>"""NAV Direct"",""CRONUS JetCorp USA"",""23"",""1"",""V100076"""</f>
        <v>"NAV Direct","CRONUS JetCorp USA","23","1","V100076"</v>
      </c>
      <c r="E47" s="8"/>
      <c r="F47" s="8"/>
      <c r="G47" s="19" t="str">
        <f>"V100076"</f>
        <v>V100076</v>
      </c>
      <c r="H47" s="21"/>
      <c r="I47" s="58">
        <v>24775.359999999997</v>
      </c>
      <c r="J47" s="59">
        <v>23001.83</v>
      </c>
      <c r="K47" s="23">
        <f t="shared" si="7"/>
        <v>-1773.5299999999952</v>
      </c>
      <c r="L47" s="13"/>
      <c r="M47" s="14">
        <f t="shared" si="8"/>
        <v>0.92841557095436777</v>
      </c>
      <c r="N47" s="24"/>
    </row>
    <row r="48" spans="1:66" hidden="1" x14ac:dyDescent="0.25">
      <c r="A48" s="9" t="s">
        <v>146</v>
      </c>
      <c r="B48" s="18">
        <f t="shared" si="9"/>
        <v>-1755.5304799999988</v>
      </c>
      <c r="C48" s="9">
        <f t="shared" si="10"/>
        <v>14</v>
      </c>
      <c r="D48" s="15" t="str">
        <f>"""NAV Direct"",""CRONUS JetCorp USA"",""23"",""1"",""V100075"""</f>
        <v>"NAV Direct","CRONUS JetCorp USA","23","1","V100075"</v>
      </c>
      <c r="E48" s="8"/>
      <c r="F48" s="8"/>
      <c r="G48" s="19" t="str">
        <f>"V100075"</f>
        <v>V100075</v>
      </c>
      <c r="H48" s="21"/>
      <c r="I48" s="58">
        <v>24747.360000000001</v>
      </c>
      <c r="J48" s="59">
        <v>22991.83</v>
      </c>
      <c r="K48" s="23">
        <f t="shared" si="7"/>
        <v>-1755.5299999999988</v>
      </c>
      <c r="L48" s="13"/>
      <c r="M48" s="14">
        <f t="shared" si="8"/>
        <v>0.92906192822183864</v>
      </c>
      <c r="N48" s="24"/>
    </row>
    <row r="49" spans="1:66" hidden="1" x14ac:dyDescent="0.25">
      <c r="A49" s="9" t="s">
        <v>146</v>
      </c>
      <c r="B49" s="18">
        <f t="shared" si="9"/>
        <v>-1851.5304899999987</v>
      </c>
      <c r="C49" s="9">
        <f t="shared" si="10"/>
        <v>16</v>
      </c>
      <c r="D49" s="15" t="str">
        <f>"""NAV Direct"",""CRONUS JetCorp USA"",""23"",""1"",""V100072"""</f>
        <v>"NAV Direct","CRONUS JetCorp USA","23","1","V100072"</v>
      </c>
      <c r="E49" s="8"/>
      <c r="F49" s="8"/>
      <c r="G49" s="19" t="str">
        <f>"V100072"</f>
        <v>V100072</v>
      </c>
      <c r="H49" s="21"/>
      <c r="I49" s="58">
        <v>24748.36</v>
      </c>
      <c r="J49" s="59">
        <v>22896.83</v>
      </c>
      <c r="K49" s="23">
        <f t="shared" si="7"/>
        <v>-1851.5299999999988</v>
      </c>
      <c r="L49" s="13"/>
      <c r="M49" s="14">
        <f t="shared" si="8"/>
        <v>0.92518574968199918</v>
      </c>
      <c r="N49" s="24"/>
    </row>
    <row r="50" spans="1:66" hidden="1" x14ac:dyDescent="0.25">
      <c r="A50" s="9" t="s">
        <v>146</v>
      </c>
      <c r="B50" s="18">
        <f t="shared" si="9"/>
        <v>-2004.5304999999953</v>
      </c>
      <c r="C50" s="9">
        <f t="shared" si="10"/>
        <v>17</v>
      </c>
      <c r="D50" s="15" t="str">
        <f>"""NAV Direct"",""CRONUS JetCorp USA"",""23"",""1"",""V100074"""</f>
        <v>"NAV Direct","CRONUS JetCorp USA","23","1","V100074"</v>
      </c>
      <c r="E50" s="8"/>
      <c r="F50" s="8"/>
      <c r="G50" s="19" t="str">
        <f>"V100074"</f>
        <v>V100074</v>
      </c>
      <c r="H50" s="21"/>
      <c r="I50" s="58">
        <v>24818.359999999997</v>
      </c>
      <c r="J50" s="59">
        <v>22813.83</v>
      </c>
      <c r="K50" s="23">
        <f t="shared" si="7"/>
        <v>-2004.5299999999952</v>
      </c>
      <c r="L50" s="13"/>
      <c r="M50" s="14">
        <f t="shared" si="8"/>
        <v>0.91923197181441496</v>
      </c>
      <c r="N50" s="24"/>
    </row>
    <row r="51" spans="1:66" hidden="1" x14ac:dyDescent="0.25">
      <c r="A51" s="9" t="s">
        <v>146</v>
      </c>
      <c r="B51" s="18">
        <f t="shared" si="9"/>
        <v>-22594.310510000003</v>
      </c>
      <c r="C51" s="9">
        <f t="shared" si="10"/>
        <v>20</v>
      </c>
      <c r="D51" s="15" t="str">
        <f>"""NAV Direct"",""CRONUS JetCorp USA"",""23"",""1"",""V100025"""</f>
        <v>"NAV Direct","CRONUS JetCorp USA","23","1","V100025"</v>
      </c>
      <c r="E51" s="8"/>
      <c r="F51" s="8"/>
      <c r="G51" s="19" t="str">
        <f>"V100025"</f>
        <v>V100025</v>
      </c>
      <c r="H51" s="21"/>
      <c r="I51" s="58">
        <v>41995.360000000001</v>
      </c>
      <c r="J51" s="59">
        <v>19401.05</v>
      </c>
      <c r="K51" s="23">
        <f t="shared" si="7"/>
        <v>-22594.31</v>
      </c>
      <c r="L51" s="13"/>
      <c r="M51" s="14">
        <f t="shared" si="8"/>
        <v>0.46198079978359513</v>
      </c>
      <c r="N51" s="24"/>
    </row>
    <row r="52" spans="1:66" hidden="1" x14ac:dyDescent="0.25">
      <c r="A52" s="9" t="s">
        <v>146</v>
      </c>
      <c r="B52" s="18">
        <f t="shared" si="9"/>
        <v>-921.21051999999918</v>
      </c>
      <c r="C52" s="9">
        <f t="shared" si="10"/>
        <v>13</v>
      </c>
      <c r="D52" s="15" t="str">
        <f>"""NAV Direct"",""CRONUS JetCorp USA"",""23"",""1"",""V100073"""</f>
        <v>"NAV Direct","CRONUS JetCorp USA","23","1","V100073"</v>
      </c>
      <c r="E52" s="8"/>
      <c r="F52" s="8"/>
      <c r="G52" s="19" t="str">
        <f>"V100073"</f>
        <v>V100073</v>
      </c>
      <c r="H52" s="21"/>
      <c r="I52" s="58">
        <v>10134.519999999999</v>
      </c>
      <c r="J52" s="59">
        <v>9213.31</v>
      </c>
      <c r="K52" s="23">
        <f t="shared" si="7"/>
        <v>-921.20999999999913</v>
      </c>
      <c r="L52" s="13"/>
      <c r="M52" s="14">
        <f t="shared" si="8"/>
        <v>0.9091017630830075</v>
      </c>
      <c r="N52" s="24"/>
    </row>
    <row r="53" spans="1:66" hidden="1" x14ac:dyDescent="0.25">
      <c r="A53" s="9" t="s">
        <v>146</v>
      </c>
      <c r="B53" s="18">
        <f t="shared" si="9"/>
        <v>-108.62053</v>
      </c>
      <c r="C53" s="9">
        <f t="shared" si="10"/>
        <v>11</v>
      </c>
      <c r="D53" s="15" t="str">
        <f>"""NAV Direct"",""CRONUS JetCorp USA"",""23"",""1"",""V100077"""</f>
        <v>"NAV Direct","CRONUS JetCorp USA","23","1","V100077"</v>
      </c>
      <c r="E53" s="8"/>
      <c r="F53" s="8"/>
      <c r="G53" s="19" t="str">
        <f>"V100077"</f>
        <v>V100077</v>
      </c>
      <c r="H53" s="21"/>
      <c r="I53" s="58">
        <v>1003.44</v>
      </c>
      <c r="J53" s="59">
        <v>894.82</v>
      </c>
      <c r="K53" s="23">
        <f t="shared" si="7"/>
        <v>-108.62</v>
      </c>
      <c r="L53" s="13"/>
      <c r="M53" s="14">
        <f t="shared" si="8"/>
        <v>0.89175237184086742</v>
      </c>
      <c r="N53" s="24"/>
    </row>
    <row r="54" spans="1:66" hidden="1" x14ac:dyDescent="0.25">
      <c r="A54" s="9" t="s">
        <v>146</v>
      </c>
      <c r="B54" s="18">
        <f t="shared" si="9"/>
        <v>-88.20053999999999</v>
      </c>
      <c r="C54" s="9">
        <f t="shared" si="10"/>
        <v>10</v>
      </c>
      <c r="D54" s="15" t="str">
        <f>"""NAV Direct"",""CRONUS JetCorp USA"",""23"",""1"",""V100002"""</f>
        <v>"NAV Direct","CRONUS JetCorp USA","23","1","V100002"</v>
      </c>
      <c r="E54" s="8"/>
      <c r="F54" s="8"/>
      <c r="G54" s="19" t="str">
        <f>"V100002"</f>
        <v>V100002</v>
      </c>
      <c r="H54" s="21"/>
      <c r="I54" s="58">
        <v>352.8</v>
      </c>
      <c r="J54" s="59">
        <v>264.60000000000002</v>
      </c>
      <c r="K54" s="23">
        <f t="shared" si="7"/>
        <v>-88.199999999999989</v>
      </c>
      <c r="L54" s="13"/>
      <c r="M54" s="14">
        <f t="shared" si="8"/>
        <v>0.75</v>
      </c>
      <c r="N54" s="24"/>
    </row>
    <row r="55" spans="1:66" ht="15.75" hidden="1" thickBot="1" x14ac:dyDescent="0.3">
      <c r="A55" s="9" t="s">
        <v>13</v>
      </c>
      <c r="D55" s="15"/>
      <c r="E55" s="8"/>
      <c r="F55" s="8"/>
      <c r="G55" s="26"/>
      <c r="H55" s="20"/>
      <c r="I55" s="27"/>
      <c r="J55" s="27"/>
      <c r="K55" s="27"/>
      <c r="L55" s="27"/>
      <c r="M55" s="20"/>
      <c r="N55" s="25"/>
    </row>
    <row r="56" spans="1:66" x14ac:dyDescent="0.25">
      <c r="D56" s="15"/>
      <c r="E56" s="8"/>
      <c r="F56" s="8"/>
      <c r="G56" s="17"/>
      <c r="H56" s="5"/>
      <c r="I56" s="6"/>
      <c r="J56" s="6"/>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row>
    <row r="58" spans="1:66" x14ac:dyDescent="0.25">
      <c r="B58" s="150" t="s">
        <v>35</v>
      </c>
      <c r="C58" s="151"/>
    </row>
    <row r="59" spans="1:66" s="4" customFormat="1" x14ac:dyDescent="0.25">
      <c r="A59" s="9"/>
      <c r="B59" s="152"/>
      <c r="C59" s="153"/>
      <c r="D59" s="9"/>
      <c r="G59"/>
      <c r="H59"/>
      <c r="I59" s="1"/>
      <c r="J59" s="1"/>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row>
    <row r="60" spans="1:66" x14ac:dyDescent="0.25">
      <c r="B60" s="152"/>
      <c r="C60" s="153"/>
    </row>
    <row r="61" spans="1:66" x14ac:dyDescent="0.25">
      <c r="B61" s="152"/>
      <c r="C61" s="153"/>
    </row>
    <row r="62" spans="1:66" s="4" customFormat="1" x14ac:dyDescent="0.25">
      <c r="A62" s="9"/>
      <c r="B62" s="154"/>
      <c r="C62" s="155"/>
      <c r="D62" s="9"/>
      <c r="G62"/>
      <c r="H62"/>
      <c r="I62" s="1"/>
      <c r="J62" s="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row>
  </sheetData>
  <mergeCells count="20">
    <mergeCell ref="F12:F13"/>
    <mergeCell ref="F4:I4"/>
    <mergeCell ref="F5:I5"/>
    <mergeCell ref="F10:H10"/>
    <mergeCell ref="B58:C62"/>
    <mergeCell ref="K32:L32"/>
    <mergeCell ref="Q10:S10"/>
    <mergeCell ref="Q12:Q13"/>
    <mergeCell ref="N11:P11"/>
    <mergeCell ref="I12:J12"/>
    <mergeCell ref="I31:J31"/>
    <mergeCell ref="O12:P12"/>
    <mergeCell ref="G26:K26"/>
    <mergeCell ref="G30:Q30"/>
    <mergeCell ref="R12:R13"/>
    <mergeCell ref="G12:G13"/>
    <mergeCell ref="H12:H13"/>
    <mergeCell ref="K12:L13"/>
    <mergeCell ref="M12:N13"/>
    <mergeCell ref="M32:N32"/>
  </mergeCells>
  <conditionalFormatting sqref="N24 N14">
    <cfRule type="dataBar" priority="482">
      <dataBar showValue="0">
        <cfvo type="num" val="0"/>
        <cfvo type="formula" val="MAX($N$14:$N$24)"/>
        <color theme="6" tint="-0.249977111117893"/>
      </dataBar>
    </cfRule>
  </conditionalFormatting>
  <conditionalFormatting sqref="L24 L14">
    <cfRule type="dataBar" priority="484">
      <dataBar showValue="0">
        <cfvo type="num" val="0"/>
        <cfvo type="formula" val="MAX($L$14:$L$24)"/>
        <color theme="6" tint="-0.249977111117893"/>
      </dataBar>
    </cfRule>
  </conditionalFormatting>
  <conditionalFormatting sqref="N15:N23">
    <cfRule type="dataBar" priority="1">
      <dataBar showValue="0">
        <cfvo type="num" val="0"/>
        <cfvo type="formula" val="MAX($N$14:$N$24)"/>
        <color theme="6" tint="-0.249977111117893"/>
      </dataBar>
    </cfRule>
  </conditionalFormatting>
  <conditionalFormatting sqref="L15:L23">
    <cfRule type="dataBar" priority="2">
      <dataBar showValue="0">
        <cfvo type="num" val="0"/>
        <cfvo type="formula" val="MAX($L$14:$L$24)"/>
        <color theme="6" tint="-0.249977111117893"/>
      </dataBar>
    </cfRule>
  </conditionalFormatting>
  <pageMargins left="0.35433070866141703" right="0.23622047244094499" top="0.78740157480314998" bottom="0.78740157480314998" header="0.31496062992126" footer="0.31496062992126"/>
  <pageSetup paperSize="9" scale="5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66"/>
  <sheetViews>
    <sheetView showGridLines="0" topLeftCell="E3" zoomScale="75" zoomScaleNormal="75" zoomScaleSheetLayoutView="93" workbookViewId="0"/>
  </sheetViews>
  <sheetFormatPr defaultColWidth="11.42578125" defaultRowHeight="15" x14ac:dyDescent="0.25"/>
  <cols>
    <col min="1" max="1" width="11.42578125" style="9" hidden="1" customWidth="1"/>
    <col min="2" max="2" width="11.28515625" style="9" hidden="1" customWidth="1"/>
    <col min="3" max="3" width="19.28515625" style="9" hidden="1" customWidth="1"/>
    <col min="4" max="4" width="23.42578125" style="9" hidden="1" customWidth="1"/>
    <col min="5" max="5" width="7.42578125" style="4" customWidth="1"/>
    <col min="6" max="6" width="8.85546875" style="4" bestFit="1" customWidth="1"/>
    <col min="7" max="7" width="25" bestFit="1" customWidth="1"/>
    <col min="8" max="8" width="38.42578125" bestFit="1" customWidth="1"/>
    <col min="9" max="10" width="25.140625" style="1" customWidth="1"/>
    <col min="11" max="11" width="12.42578125" bestFit="1" customWidth="1"/>
    <col min="12" max="12" width="13.5703125" customWidth="1"/>
    <col min="13" max="13" width="12.42578125" bestFit="1" customWidth="1"/>
    <col min="14" max="14" width="13.5703125" customWidth="1"/>
    <col min="15" max="16" width="25.140625" customWidth="1"/>
    <col min="17" max="17" width="23.28515625" bestFit="1" customWidth="1"/>
    <col min="18" max="18" width="13.5703125" hidden="1" customWidth="1"/>
    <col min="19" max="19" width="13.28515625" bestFit="1" customWidth="1"/>
  </cols>
  <sheetData>
    <row r="1" spans="1:19" s="9" customFormat="1" hidden="1" x14ac:dyDescent="0.25">
      <c r="A1" s="9" t="s">
        <v>631</v>
      </c>
      <c r="B1" s="9" t="s">
        <v>36</v>
      </c>
      <c r="C1" s="9" t="s">
        <v>13</v>
      </c>
      <c r="D1" s="9" t="s">
        <v>13</v>
      </c>
      <c r="F1" s="9" t="s">
        <v>10</v>
      </c>
      <c r="G1" s="9" t="s">
        <v>10</v>
      </c>
      <c r="H1" s="9" t="s">
        <v>10</v>
      </c>
      <c r="I1" s="10"/>
      <c r="J1" s="10"/>
      <c r="K1" s="9" t="s">
        <v>10</v>
      </c>
      <c r="M1" s="9" t="s">
        <v>10</v>
      </c>
      <c r="R1" s="9" t="s">
        <v>2</v>
      </c>
      <c r="S1" s="9" t="s">
        <v>10</v>
      </c>
    </row>
    <row r="2" spans="1:19" s="9" customFormat="1" hidden="1" x14ac:dyDescent="0.25">
      <c r="A2" s="9" t="s">
        <v>2</v>
      </c>
      <c r="I2" s="10"/>
      <c r="J2" s="10"/>
      <c r="K2" s="9" t="s">
        <v>19</v>
      </c>
      <c r="M2" s="9" t="s">
        <v>19</v>
      </c>
    </row>
    <row r="3" spans="1:19" x14ac:dyDescent="0.25">
      <c r="C3" s="11" t="s">
        <v>11</v>
      </c>
      <c r="D3" s="12" t="str">
        <f>Most_recent_Period</f>
        <v>01/01/2018..12/01/2018</v>
      </c>
      <c r="E3"/>
      <c r="F3"/>
      <c r="I3"/>
      <c r="J3"/>
    </row>
    <row r="4" spans="1:19" ht="30.75" x14ac:dyDescent="0.55000000000000004">
      <c r="C4" s="11" t="s">
        <v>12</v>
      </c>
      <c r="D4" s="12" t="str">
        <f>Prior_Period</f>
        <v>01/01/2017..12/01/2017</v>
      </c>
      <c r="E4"/>
      <c r="F4" s="147" t="s">
        <v>43</v>
      </c>
      <c r="G4" s="147"/>
      <c r="H4" s="147"/>
      <c r="I4" s="147"/>
      <c r="J4"/>
    </row>
    <row r="5" spans="1:19" ht="20.25" x14ac:dyDescent="0.35">
      <c r="C5" s="11" t="s">
        <v>30</v>
      </c>
      <c r="D5" s="12" t="str">
        <f>Vendor_Posting_group</f>
        <v>*</v>
      </c>
      <c r="E5"/>
      <c r="F5" s="148" t="str">
        <f>" from "&amp;$D$4&amp;" to "&amp;$D$3</f>
        <v xml:space="preserve"> from 01/01/2017..12/01/2017 to 01/01/2018..12/01/2018</v>
      </c>
      <c r="G5" s="148"/>
      <c r="H5" s="148"/>
      <c r="I5" s="148"/>
      <c r="J5"/>
    </row>
    <row r="6" spans="1:19" x14ac:dyDescent="0.25">
      <c r="C6" s="11" t="s">
        <v>29</v>
      </c>
      <c r="D6" s="12" t="str">
        <f>Country_Code</f>
        <v>*</v>
      </c>
      <c r="E6"/>
      <c r="F6"/>
      <c r="I6"/>
      <c r="J6"/>
    </row>
    <row r="7" spans="1:19" ht="17.25" x14ac:dyDescent="0.3">
      <c r="C7" s="11" t="s">
        <v>34</v>
      </c>
      <c r="D7" s="12">
        <f>No_of_Vendors_Desplayed</f>
        <v>10</v>
      </c>
      <c r="E7"/>
      <c r="F7"/>
      <c r="G7" s="116" t="str">
        <f>C5</f>
        <v>Vendor Posting Group</v>
      </c>
      <c r="H7" s="117" t="str">
        <f>D5</f>
        <v>*</v>
      </c>
      <c r="I7"/>
      <c r="J7"/>
    </row>
    <row r="8" spans="1:19" ht="17.25" x14ac:dyDescent="0.3">
      <c r="C8" s="11" t="s">
        <v>6</v>
      </c>
      <c r="D8" s="12" t="str">
        <f>Sorting</f>
        <v>Sorted by Amount</v>
      </c>
      <c r="E8"/>
      <c r="F8"/>
      <c r="G8" s="116" t="str">
        <f>C6</f>
        <v>Country Code</v>
      </c>
      <c r="H8" s="117" t="str">
        <f>D6</f>
        <v>*</v>
      </c>
      <c r="I8"/>
      <c r="J8"/>
    </row>
    <row r="9" spans="1:19" ht="17.25" x14ac:dyDescent="0.3">
      <c r="C9" s="11" t="s">
        <v>45</v>
      </c>
      <c r="D9" s="12">
        <f>Sales_Exceeding</f>
        <v>100</v>
      </c>
      <c r="E9"/>
      <c r="F9" s="63"/>
      <c r="G9" s="65"/>
      <c r="H9" s="65"/>
      <c r="I9" s="65"/>
      <c r="J9"/>
      <c r="Q9" s="62"/>
      <c r="R9" s="62"/>
      <c r="S9" s="119" t="s">
        <v>21</v>
      </c>
    </row>
    <row r="10" spans="1:19" ht="17.25" x14ac:dyDescent="0.3">
      <c r="C10" s="11" t="s">
        <v>46</v>
      </c>
      <c r="D10" s="12">
        <f>Top_vendors_to_examine</f>
        <v>500</v>
      </c>
      <c r="E10"/>
      <c r="F10" s="149" t="str">
        <f>D8</f>
        <v>Sorted by Amount</v>
      </c>
      <c r="G10" s="149"/>
      <c r="H10" s="149"/>
      <c r="I10"/>
      <c r="J10"/>
      <c r="Q10" s="132">
        <v>43360.401562500003</v>
      </c>
      <c r="R10" s="132"/>
      <c r="S10" s="132"/>
    </row>
    <row r="11" spans="1:19" ht="15.75" thickBot="1" x14ac:dyDescent="0.3">
      <c r="C11" s="11"/>
      <c r="D11" s="12"/>
      <c r="E11"/>
      <c r="F11"/>
      <c r="I11"/>
      <c r="J11"/>
    </row>
    <row r="12" spans="1:19" ht="21.95" customHeight="1" x14ac:dyDescent="0.25">
      <c r="D12" s="12"/>
      <c r="E12" s="95"/>
      <c r="F12" s="167" t="s">
        <v>40</v>
      </c>
      <c r="G12" s="165" t="s">
        <v>41</v>
      </c>
      <c r="H12" s="156" t="s">
        <v>16</v>
      </c>
      <c r="I12" s="158" t="s">
        <v>15</v>
      </c>
      <c r="J12" s="156"/>
      <c r="K12" s="158" t="s">
        <v>17</v>
      </c>
      <c r="L12" s="156"/>
      <c r="M12" s="158" t="s">
        <v>7</v>
      </c>
      <c r="N12" s="156"/>
      <c r="O12" s="158" t="s">
        <v>42</v>
      </c>
      <c r="P12" s="156"/>
      <c r="Q12" s="156" t="s">
        <v>30</v>
      </c>
      <c r="R12" s="158" t="s">
        <v>37</v>
      </c>
      <c r="S12" s="107" t="s">
        <v>31</v>
      </c>
    </row>
    <row r="13" spans="1:19" ht="32.25" customHeight="1" thickBot="1" x14ac:dyDescent="0.3">
      <c r="A13" s="54"/>
      <c r="B13" s="56" t="s">
        <v>33</v>
      </c>
      <c r="C13" s="54"/>
      <c r="D13" s="57" t="s">
        <v>47</v>
      </c>
      <c r="E13" s="95"/>
      <c r="F13" s="168"/>
      <c r="G13" s="166"/>
      <c r="H13" s="157"/>
      <c r="I13" s="108" t="str">
        <f>D4</f>
        <v>01/01/2017..12/01/2017</v>
      </c>
      <c r="J13" s="109" t="str">
        <f>D3</f>
        <v>01/01/2018..12/01/2018</v>
      </c>
      <c r="K13" s="159"/>
      <c r="L13" s="157"/>
      <c r="M13" s="159"/>
      <c r="N13" s="157"/>
      <c r="O13" s="110" t="str">
        <f>D4</f>
        <v>01/01/2017..12/01/2017</v>
      </c>
      <c r="P13" s="109" t="str">
        <f>D3</f>
        <v>01/01/2018..12/01/2018</v>
      </c>
      <c r="Q13" s="157"/>
      <c r="R13" s="159"/>
      <c r="S13" s="111"/>
    </row>
    <row r="14" spans="1:19" ht="16.5" x14ac:dyDescent="0.3">
      <c r="A14" s="45"/>
      <c r="B14" s="46" t="str">
        <f>IF(K14=0,"Hide","Show")</f>
        <v>Show</v>
      </c>
      <c r="D14" s="9">
        <v>1</v>
      </c>
      <c r="E14" s="91"/>
      <c r="F14" s="67">
        <f t="shared" ref="F14:F23" si="0">D14</f>
        <v>1</v>
      </c>
      <c r="G14" s="96" t="str">
        <f t="shared" ref="G14:G23" si="1">VLOOKUP($D14,$C$34:$G$55,5,FALSE)</f>
        <v>V100023</v>
      </c>
      <c r="H14" s="69" t="str">
        <f>"PURE-LOOK"</f>
        <v>PURE-LOOK</v>
      </c>
      <c r="I14" s="70">
        <v>266174.60000000003</v>
      </c>
      <c r="J14" s="71">
        <v>201470.94</v>
      </c>
      <c r="K14" s="97">
        <f t="shared" ref="K14:K23" si="2">IF(ISERROR(G14),0,IF((J14&gt;I14),0,J14-I14))</f>
        <v>-64703.660000000033</v>
      </c>
      <c r="L14" s="98">
        <f t="shared" ref="L14:L23" si="3">-K14</f>
        <v>64703.660000000033</v>
      </c>
      <c r="M14" s="99">
        <f t="shared" ref="M14:M23" si="4">IF(K14=0,0,K14/I14)</f>
        <v>-0.24308728180675401</v>
      </c>
      <c r="N14" s="100">
        <f t="shared" ref="N14:N23" si="5">-M14</f>
        <v>0.24308728180675401</v>
      </c>
      <c r="O14" s="70">
        <v>5</v>
      </c>
      <c r="P14" s="71">
        <v>4</v>
      </c>
      <c r="Q14" s="76" t="str">
        <f>"EU"</f>
        <v>EU</v>
      </c>
      <c r="R14" s="77" t="str">
        <f>"BE"</f>
        <v>BE</v>
      </c>
      <c r="S14" s="78" t="str">
        <f>"Belgium"</f>
        <v>Belgium</v>
      </c>
    </row>
    <row r="15" spans="1:19" ht="16.5" x14ac:dyDescent="0.3">
      <c r="A15" s="45" t="s">
        <v>145</v>
      </c>
      <c r="B15" s="46" t="str">
        <f t="shared" ref="B15:B23" si="6">IF(K15=0,"Hide","Show")</f>
        <v>Show</v>
      </c>
      <c r="D15" s="9">
        <v>2</v>
      </c>
      <c r="E15" s="91"/>
      <c r="F15" s="67">
        <f t="shared" si="0"/>
        <v>2</v>
      </c>
      <c r="G15" s="96" t="str">
        <f t="shared" si="1"/>
        <v>V100025</v>
      </c>
      <c r="H15" s="69" t="str">
        <f>"Club Euroamis"</f>
        <v>Club Euroamis</v>
      </c>
      <c r="I15" s="70">
        <v>41995.360000000001</v>
      </c>
      <c r="J15" s="71">
        <v>19401.05</v>
      </c>
      <c r="K15" s="97">
        <f t="shared" si="2"/>
        <v>-22594.31</v>
      </c>
      <c r="L15" s="98">
        <f t="shared" si="3"/>
        <v>22594.31</v>
      </c>
      <c r="M15" s="99">
        <f t="shared" si="4"/>
        <v>-0.53801920021640492</v>
      </c>
      <c r="N15" s="100">
        <f t="shared" si="5"/>
        <v>0.53801920021640492</v>
      </c>
      <c r="O15" s="70">
        <v>6</v>
      </c>
      <c r="P15" s="71">
        <v>8</v>
      </c>
      <c r="Q15" s="76" t="str">
        <f>"EU"</f>
        <v>EU</v>
      </c>
      <c r="R15" s="77" t="str">
        <f>"FR"</f>
        <v>FR</v>
      </c>
      <c r="S15" s="78" t="str">
        <f>"France"</f>
        <v>France</v>
      </c>
    </row>
    <row r="16" spans="1:19" ht="16.5" x14ac:dyDescent="0.3">
      <c r="A16" s="45" t="s">
        <v>145</v>
      </c>
      <c r="B16" s="46" t="str">
        <f t="shared" si="6"/>
        <v>Show</v>
      </c>
      <c r="D16" s="9">
        <v>3</v>
      </c>
      <c r="E16" s="91"/>
      <c r="F16" s="67">
        <f t="shared" si="0"/>
        <v>3</v>
      </c>
      <c r="G16" s="96" t="str">
        <f t="shared" si="1"/>
        <v>V100070</v>
      </c>
      <c r="H16" s="69" t="str">
        <f>"Corporation for Public Broadcasting"</f>
        <v>Corporation for Public Broadcasting</v>
      </c>
      <c r="I16" s="70">
        <v>76378.080000000002</v>
      </c>
      <c r="J16" s="71">
        <v>57030.710000000006</v>
      </c>
      <c r="K16" s="97">
        <f t="shared" si="2"/>
        <v>-19347.369999999995</v>
      </c>
      <c r="L16" s="98">
        <f t="shared" si="3"/>
        <v>19347.369999999995</v>
      </c>
      <c r="M16" s="99">
        <f t="shared" si="4"/>
        <v>-0.25331050479404554</v>
      </c>
      <c r="N16" s="100">
        <f t="shared" si="5"/>
        <v>0.25331050479404554</v>
      </c>
      <c r="O16" s="70">
        <v>140</v>
      </c>
      <c r="P16" s="71">
        <v>136</v>
      </c>
      <c r="Q16" s="76" t="str">
        <f t="shared" ref="Q16:Q23" si="7">"NA"</f>
        <v>NA</v>
      </c>
      <c r="R16" s="77" t="str">
        <f t="shared" ref="R16:R22" si="8">"US"</f>
        <v>US</v>
      </c>
      <c r="S16" s="78" t="str">
        <f t="shared" ref="S16:S22" si="9">"USA"</f>
        <v>USA</v>
      </c>
    </row>
    <row r="17" spans="1:19" ht="16.5" x14ac:dyDescent="0.3">
      <c r="A17" s="45" t="s">
        <v>145</v>
      </c>
      <c r="B17" s="46" t="str">
        <f t="shared" si="6"/>
        <v>Show</v>
      </c>
      <c r="D17" s="9">
        <v>4</v>
      </c>
      <c r="E17" s="91"/>
      <c r="F17" s="67">
        <f t="shared" si="0"/>
        <v>4</v>
      </c>
      <c r="G17" s="96" t="str">
        <f t="shared" si="1"/>
        <v>V100078</v>
      </c>
      <c r="H17" s="69" t="str">
        <f>"Slant Communications"</f>
        <v>Slant Communications</v>
      </c>
      <c r="I17" s="70">
        <v>29817.679999999997</v>
      </c>
      <c r="J17" s="71">
        <v>27530.04</v>
      </c>
      <c r="K17" s="97">
        <f t="shared" si="2"/>
        <v>-2287.6399999999958</v>
      </c>
      <c r="L17" s="98">
        <f t="shared" si="3"/>
        <v>2287.6399999999958</v>
      </c>
      <c r="M17" s="99">
        <f t="shared" si="4"/>
        <v>-7.672092530337693E-2</v>
      </c>
      <c r="N17" s="100">
        <f t="shared" si="5"/>
        <v>7.672092530337693E-2</v>
      </c>
      <c r="O17" s="70">
        <v>12</v>
      </c>
      <c r="P17" s="71">
        <v>11</v>
      </c>
      <c r="Q17" s="76" t="str">
        <f t="shared" si="7"/>
        <v>NA</v>
      </c>
      <c r="R17" s="77" t="str">
        <f t="shared" si="8"/>
        <v>US</v>
      </c>
      <c r="S17" s="78" t="str">
        <f t="shared" si="9"/>
        <v>USA</v>
      </c>
    </row>
    <row r="18" spans="1:19" ht="16.5" x14ac:dyDescent="0.3">
      <c r="A18" s="45" t="s">
        <v>145</v>
      </c>
      <c r="B18" s="46" t="str">
        <f t="shared" si="6"/>
        <v>Show</v>
      </c>
      <c r="D18" s="9">
        <v>5</v>
      </c>
      <c r="E18" s="91"/>
      <c r="F18" s="67">
        <f t="shared" si="0"/>
        <v>5</v>
      </c>
      <c r="G18" s="96" t="str">
        <f t="shared" si="1"/>
        <v>V100074</v>
      </c>
      <c r="H18" s="69" t="str">
        <f>"Dewey, Cheatam &amp; Howe, Legal Svcs."</f>
        <v>Dewey, Cheatam &amp; Howe, Legal Svcs.</v>
      </c>
      <c r="I18" s="70">
        <v>24818.359999999997</v>
      </c>
      <c r="J18" s="71">
        <v>22813.83</v>
      </c>
      <c r="K18" s="97">
        <f t="shared" si="2"/>
        <v>-2004.5299999999952</v>
      </c>
      <c r="L18" s="98">
        <f t="shared" si="3"/>
        <v>2004.5299999999952</v>
      </c>
      <c r="M18" s="99">
        <f t="shared" si="4"/>
        <v>-8.0768028185584997E-2</v>
      </c>
      <c r="N18" s="100">
        <f t="shared" si="5"/>
        <v>8.0768028185584997E-2</v>
      </c>
      <c r="O18" s="70">
        <v>12</v>
      </c>
      <c r="P18" s="71">
        <v>11</v>
      </c>
      <c r="Q18" s="76" t="str">
        <f t="shared" si="7"/>
        <v>NA</v>
      </c>
      <c r="R18" s="77" t="str">
        <f t="shared" si="8"/>
        <v>US</v>
      </c>
      <c r="S18" s="78" t="str">
        <f t="shared" si="9"/>
        <v>USA</v>
      </c>
    </row>
    <row r="19" spans="1:19" ht="16.5" x14ac:dyDescent="0.3">
      <c r="A19" s="45" t="s">
        <v>145</v>
      </c>
      <c r="B19" s="46" t="str">
        <f t="shared" si="6"/>
        <v>Show</v>
      </c>
      <c r="D19" s="9">
        <v>6</v>
      </c>
      <c r="E19" s="91"/>
      <c r="F19" s="67">
        <f t="shared" si="0"/>
        <v>6</v>
      </c>
      <c r="G19" s="96" t="str">
        <f t="shared" si="1"/>
        <v>V100072</v>
      </c>
      <c r="H19" s="69" t="str">
        <f>"eSystems"</f>
        <v>eSystems</v>
      </c>
      <c r="I19" s="70">
        <v>24748.36</v>
      </c>
      <c r="J19" s="71">
        <v>22896.83</v>
      </c>
      <c r="K19" s="97">
        <f t="shared" si="2"/>
        <v>-1851.5299999999988</v>
      </c>
      <c r="L19" s="98">
        <f t="shared" si="3"/>
        <v>1851.5299999999988</v>
      </c>
      <c r="M19" s="99">
        <f t="shared" si="4"/>
        <v>-7.4814250318000819E-2</v>
      </c>
      <c r="N19" s="100">
        <f t="shared" si="5"/>
        <v>7.4814250318000819E-2</v>
      </c>
      <c r="O19" s="70">
        <v>12</v>
      </c>
      <c r="P19" s="71">
        <v>11</v>
      </c>
      <c r="Q19" s="76" t="str">
        <f t="shared" si="7"/>
        <v>NA</v>
      </c>
      <c r="R19" s="77" t="str">
        <f t="shared" si="8"/>
        <v>US</v>
      </c>
      <c r="S19" s="78" t="str">
        <f t="shared" si="9"/>
        <v>USA</v>
      </c>
    </row>
    <row r="20" spans="1:19" ht="16.5" x14ac:dyDescent="0.3">
      <c r="A20" s="45" t="s">
        <v>145</v>
      </c>
      <c r="B20" s="46" t="str">
        <f t="shared" si="6"/>
        <v>Show</v>
      </c>
      <c r="D20" s="9">
        <v>7</v>
      </c>
      <c r="E20" s="91"/>
      <c r="F20" s="67">
        <f t="shared" si="0"/>
        <v>7</v>
      </c>
      <c r="G20" s="96" t="str">
        <f t="shared" si="1"/>
        <v>V100076</v>
      </c>
      <c r="H20" s="69" t="str">
        <f>"Deffingers"</f>
        <v>Deffingers</v>
      </c>
      <c r="I20" s="70">
        <v>24775.359999999997</v>
      </c>
      <c r="J20" s="71">
        <v>23001.83</v>
      </c>
      <c r="K20" s="97">
        <f t="shared" si="2"/>
        <v>-1773.5299999999952</v>
      </c>
      <c r="L20" s="98">
        <f t="shared" si="3"/>
        <v>1773.5299999999952</v>
      </c>
      <c r="M20" s="99">
        <f t="shared" si="4"/>
        <v>-7.1584429045632253E-2</v>
      </c>
      <c r="N20" s="100">
        <f t="shared" si="5"/>
        <v>7.1584429045632253E-2</v>
      </c>
      <c r="O20" s="70">
        <v>12</v>
      </c>
      <c r="P20" s="71">
        <v>11</v>
      </c>
      <c r="Q20" s="76" t="str">
        <f t="shared" si="7"/>
        <v>NA</v>
      </c>
      <c r="R20" s="77" t="str">
        <f t="shared" si="8"/>
        <v>US</v>
      </c>
      <c r="S20" s="78" t="str">
        <f t="shared" si="9"/>
        <v>USA</v>
      </c>
    </row>
    <row r="21" spans="1:19" ht="16.5" x14ac:dyDescent="0.3">
      <c r="A21" s="45" t="s">
        <v>145</v>
      </c>
      <c r="B21" s="46" t="str">
        <f t="shared" si="6"/>
        <v>Show</v>
      </c>
      <c r="D21" s="9">
        <v>8</v>
      </c>
      <c r="E21" s="91"/>
      <c r="F21" s="67">
        <f t="shared" si="0"/>
        <v>8</v>
      </c>
      <c r="G21" s="96" t="str">
        <f t="shared" si="1"/>
        <v>V100075</v>
      </c>
      <c r="H21" s="69" t="str">
        <f>"Global Electric"</f>
        <v>Global Electric</v>
      </c>
      <c r="I21" s="70">
        <v>24747.360000000001</v>
      </c>
      <c r="J21" s="71">
        <v>22991.83</v>
      </c>
      <c r="K21" s="97">
        <f t="shared" si="2"/>
        <v>-1755.5299999999988</v>
      </c>
      <c r="L21" s="98">
        <f t="shared" si="3"/>
        <v>1755.5299999999988</v>
      </c>
      <c r="M21" s="99">
        <f t="shared" si="4"/>
        <v>-7.0938071778161332E-2</v>
      </c>
      <c r="N21" s="100">
        <f t="shared" si="5"/>
        <v>7.0938071778161332E-2</v>
      </c>
      <c r="O21" s="70">
        <v>12</v>
      </c>
      <c r="P21" s="71">
        <v>11</v>
      </c>
      <c r="Q21" s="76" t="str">
        <f t="shared" si="7"/>
        <v>NA</v>
      </c>
      <c r="R21" s="77" t="str">
        <f t="shared" si="8"/>
        <v>US</v>
      </c>
      <c r="S21" s="78" t="str">
        <f t="shared" si="9"/>
        <v>USA</v>
      </c>
    </row>
    <row r="22" spans="1:19" ht="16.5" x14ac:dyDescent="0.3">
      <c r="A22" s="45" t="s">
        <v>145</v>
      </c>
      <c r="B22" s="46" t="str">
        <f t="shared" si="6"/>
        <v>Show</v>
      </c>
      <c r="D22" s="9">
        <v>9</v>
      </c>
      <c r="E22" s="91"/>
      <c r="F22" s="67">
        <f t="shared" si="0"/>
        <v>9</v>
      </c>
      <c r="G22" s="96" t="str">
        <f t="shared" si="1"/>
        <v>V100073</v>
      </c>
      <c r="H22" s="69" t="str">
        <f>"Jay's Cleaning Services"</f>
        <v>Jay's Cleaning Services</v>
      </c>
      <c r="I22" s="70">
        <v>10134.519999999999</v>
      </c>
      <c r="J22" s="71">
        <v>9213.31</v>
      </c>
      <c r="K22" s="97">
        <f t="shared" si="2"/>
        <v>-921.20999999999913</v>
      </c>
      <c r="L22" s="98">
        <f t="shared" si="3"/>
        <v>921.20999999999913</v>
      </c>
      <c r="M22" s="99">
        <f t="shared" si="4"/>
        <v>-9.0898236916992545E-2</v>
      </c>
      <c r="N22" s="100">
        <f t="shared" si="5"/>
        <v>9.0898236916992545E-2</v>
      </c>
      <c r="O22" s="70">
        <v>12</v>
      </c>
      <c r="P22" s="71">
        <v>11</v>
      </c>
      <c r="Q22" s="76" t="str">
        <f t="shared" si="7"/>
        <v>NA</v>
      </c>
      <c r="R22" s="77" t="str">
        <f t="shared" si="8"/>
        <v>US</v>
      </c>
      <c r="S22" s="78" t="str">
        <f t="shared" si="9"/>
        <v>USA</v>
      </c>
    </row>
    <row r="23" spans="1:19" ht="16.5" x14ac:dyDescent="0.3">
      <c r="A23" s="45" t="s">
        <v>145</v>
      </c>
      <c r="B23" s="46" t="str">
        <f t="shared" si="6"/>
        <v>Show</v>
      </c>
      <c r="D23" s="9">
        <v>10</v>
      </c>
      <c r="E23" s="91"/>
      <c r="F23" s="67">
        <f t="shared" si="0"/>
        <v>10</v>
      </c>
      <c r="G23" s="96" t="str">
        <f t="shared" si="1"/>
        <v>V100005</v>
      </c>
      <c r="H23" s="69" t="str">
        <f>"NewCaSup"</f>
        <v>NewCaSup</v>
      </c>
      <c r="I23" s="70">
        <v>174795.51</v>
      </c>
      <c r="J23" s="71">
        <v>174105.49</v>
      </c>
      <c r="K23" s="97">
        <f t="shared" si="2"/>
        <v>-690.02000000001863</v>
      </c>
      <c r="L23" s="98">
        <f t="shared" si="3"/>
        <v>690.02000000001863</v>
      </c>
      <c r="M23" s="99">
        <f t="shared" si="4"/>
        <v>-3.9475842371467012E-3</v>
      </c>
      <c r="N23" s="100">
        <f t="shared" si="5"/>
        <v>3.9475842371467012E-3</v>
      </c>
      <c r="O23" s="70">
        <v>132</v>
      </c>
      <c r="P23" s="71">
        <v>132</v>
      </c>
      <c r="Q23" s="76" t="str">
        <f t="shared" si="7"/>
        <v>NA</v>
      </c>
      <c r="R23" s="77" t="str">
        <f>"CA"</f>
        <v>CA</v>
      </c>
      <c r="S23" s="78" t="str">
        <f>"Canada"</f>
        <v>Canada</v>
      </c>
    </row>
    <row r="24" spans="1:19" ht="19.5" customHeight="1" thickBot="1" x14ac:dyDescent="0.4">
      <c r="E24" s="91"/>
      <c r="F24" s="79"/>
      <c r="G24" s="101"/>
      <c r="H24" s="81"/>
      <c r="I24" s="82"/>
      <c r="J24" s="83"/>
      <c r="K24" s="102"/>
      <c r="L24" s="103"/>
      <c r="M24" s="104"/>
      <c r="N24" s="103"/>
      <c r="O24" s="82"/>
      <c r="P24" s="83"/>
      <c r="Q24" s="83"/>
      <c r="R24" s="82"/>
      <c r="S24" s="90"/>
    </row>
    <row r="25" spans="1:19" ht="20.25" x14ac:dyDescent="0.35">
      <c r="E25" s="91"/>
      <c r="F25" s="91"/>
      <c r="G25" s="92"/>
      <c r="H25" s="92"/>
      <c r="I25" s="93"/>
      <c r="J25" s="93"/>
      <c r="K25" s="94"/>
      <c r="L25" s="94"/>
      <c r="M25" s="94"/>
      <c r="N25" s="94"/>
      <c r="O25" s="94"/>
      <c r="P25" s="94"/>
      <c r="Q25" s="94"/>
      <c r="R25" s="94"/>
      <c r="S25" s="62"/>
    </row>
    <row r="26" spans="1:19" ht="17.25" x14ac:dyDescent="0.3">
      <c r="E26" s="91"/>
      <c r="F26" s="91"/>
      <c r="G26" s="139" t="str">
        <f>"Vendors with purchase activity of less than "&amp;D9 &amp;" not shown"</f>
        <v>Vendors with purchase activity of less than 100 not shown</v>
      </c>
      <c r="H26" s="139"/>
      <c r="I26" s="139"/>
      <c r="J26" s="139"/>
      <c r="K26" s="139"/>
      <c r="L26" s="94"/>
      <c r="M26" s="94"/>
      <c r="N26" s="94"/>
      <c r="O26" s="94"/>
      <c r="P26" s="94"/>
      <c r="Q26" s="94"/>
      <c r="R26" s="94"/>
      <c r="S26" s="62"/>
    </row>
    <row r="27" spans="1:19" ht="20.25" x14ac:dyDescent="0.35">
      <c r="E27" s="63"/>
      <c r="F27" s="63"/>
      <c r="G27" s="92"/>
      <c r="H27" s="92"/>
      <c r="I27" s="93"/>
      <c r="J27" s="93"/>
      <c r="K27" s="94"/>
      <c r="L27" s="94"/>
      <c r="M27" s="94"/>
      <c r="N27" s="94"/>
      <c r="O27" s="94"/>
      <c r="P27" s="94"/>
      <c r="Q27" s="94"/>
      <c r="R27" s="94"/>
      <c r="S27" s="62"/>
    </row>
    <row r="28" spans="1:19" ht="18" x14ac:dyDescent="0.25">
      <c r="G28" s="2"/>
      <c r="H28" s="2"/>
      <c r="I28" s="3"/>
      <c r="J28" s="3"/>
      <c r="K28" s="7"/>
      <c r="L28" s="7"/>
      <c r="M28" s="7"/>
      <c r="N28" s="7"/>
      <c r="O28" s="7"/>
      <c r="P28" s="7"/>
      <c r="Q28" s="7"/>
      <c r="R28" s="7"/>
    </row>
    <row r="29" spans="1:19" ht="18" x14ac:dyDescent="0.25">
      <c r="G29" s="2"/>
      <c r="H29" s="2"/>
      <c r="I29" s="3"/>
      <c r="J29" s="3"/>
      <c r="K29" s="7"/>
      <c r="L29" s="7"/>
      <c r="M29" s="7"/>
      <c r="N29" s="7"/>
      <c r="O29" s="7"/>
      <c r="P29" s="7"/>
      <c r="Q29" s="7"/>
      <c r="R29" s="7"/>
    </row>
    <row r="30" spans="1:19" ht="18.75" hidden="1" x14ac:dyDescent="0.3">
      <c r="A30" s="9" t="s">
        <v>2</v>
      </c>
      <c r="G30" s="140" t="str">
        <f>"This section gathers sales data for the top "&amp;D10&amp;" vendors and ranks them by sales decrease  The rankings are used in the section above to display the top "&amp;D7&amp;" vendors."</f>
        <v>This section gathers sales data for the top 500 vendors and ranks them by sales decrease  The rankings are used in the section above to display the top 10 vendors.</v>
      </c>
      <c r="H30" s="140"/>
      <c r="I30" s="140"/>
      <c r="J30" s="140"/>
      <c r="K30" s="140"/>
      <c r="L30" s="140"/>
      <c r="M30" s="140"/>
      <c r="N30" s="140"/>
      <c r="O30" s="140"/>
      <c r="P30" s="140"/>
      <c r="Q30" s="140"/>
      <c r="R30" s="7"/>
    </row>
    <row r="31" spans="1:19" ht="21" hidden="1" x14ac:dyDescent="0.35">
      <c r="A31" s="9" t="s">
        <v>2</v>
      </c>
      <c r="G31" s="28"/>
      <c r="H31" s="29"/>
      <c r="I31" s="163" t="s">
        <v>15</v>
      </c>
      <c r="J31" s="164"/>
      <c r="K31" s="30"/>
      <c r="L31" s="30"/>
      <c r="M31" s="30"/>
      <c r="N31" s="31"/>
    </row>
    <row r="32" spans="1:19" ht="15.75" hidden="1" customHeight="1" thickBot="1" x14ac:dyDescent="0.3">
      <c r="A32" s="9" t="s">
        <v>2</v>
      </c>
      <c r="D32" s="15"/>
      <c r="G32" s="32" t="s">
        <v>14</v>
      </c>
      <c r="H32" s="33"/>
      <c r="I32" s="34" t="str">
        <f>$D$6</f>
        <v>*</v>
      </c>
      <c r="J32" s="44" t="str">
        <f>$D$5</f>
        <v>*</v>
      </c>
      <c r="K32" s="160" t="s">
        <v>17</v>
      </c>
      <c r="L32" s="161"/>
      <c r="M32" s="161" t="s">
        <v>7</v>
      </c>
      <c r="N32" s="162"/>
    </row>
    <row r="33" spans="1:31" hidden="1" x14ac:dyDescent="0.25">
      <c r="A33" s="9" t="s">
        <v>2</v>
      </c>
      <c r="B33" s="9" t="s">
        <v>9</v>
      </c>
      <c r="C33" s="9" t="s">
        <v>8</v>
      </c>
      <c r="D33" s="16"/>
      <c r="G33" s="19"/>
      <c r="H33" s="7"/>
      <c r="I33" s="13"/>
      <c r="J33" s="13"/>
      <c r="K33" s="13"/>
      <c r="L33" s="13"/>
      <c r="M33" s="14"/>
      <c r="N33" s="24"/>
      <c r="O33" s="4"/>
      <c r="P33" s="4"/>
      <c r="Q33" s="4"/>
      <c r="R33" s="4"/>
      <c r="S33" s="4"/>
      <c r="T33" s="4"/>
      <c r="U33" s="4"/>
      <c r="V33" s="4"/>
      <c r="W33" s="4"/>
      <c r="X33" s="4"/>
      <c r="Y33" s="4"/>
      <c r="Z33" s="4"/>
      <c r="AA33" s="4"/>
      <c r="AB33" s="4"/>
      <c r="AC33" s="4"/>
      <c r="AD33" s="4"/>
      <c r="AE33" s="4"/>
    </row>
    <row r="34" spans="1:31" hidden="1" x14ac:dyDescent="0.25">
      <c r="A34" s="9" t="s">
        <v>2</v>
      </c>
      <c r="B34" s="18">
        <f>IF($D$8="Sorted by Amount",K34-(ROW(K34)/100000),M34-(ROW(M34)/100000))</f>
        <v>-983087.49034000025</v>
      </c>
      <c r="C34" s="9">
        <f>RANK(B34,$B$34:$B$55,0)</f>
        <v>21</v>
      </c>
      <c r="D34" s="15" t="str">
        <f>"""NAV Direct"",""CRONUS JetCorp USA"",""23"",""1"",""V100001"""</f>
        <v>"NAV Direct","CRONUS JetCorp USA","23","1","V100001"</v>
      </c>
      <c r="G34" s="19" t="str">
        <f>"V100001"</f>
        <v>V100001</v>
      </c>
      <c r="H34" s="21"/>
      <c r="I34" s="22">
        <v>2472761.48</v>
      </c>
      <c r="J34" s="22">
        <v>3455848.97</v>
      </c>
      <c r="K34" s="23">
        <f t="shared" ref="K34:K54" si="10">I34-J34</f>
        <v>-983087.49000000022</v>
      </c>
      <c r="L34" s="13"/>
      <c r="M34" s="14">
        <f t="shared" ref="M34:M54" si="11">IF(I34&lt;=0,999999,K34/I34)</f>
        <v>-0.39756664682434323</v>
      </c>
      <c r="N34" s="24"/>
    </row>
    <row r="35" spans="1:31" hidden="1" x14ac:dyDescent="0.25">
      <c r="A35" s="9" t="s">
        <v>147</v>
      </c>
      <c r="B35" s="18">
        <f t="shared" ref="B35:B54" si="12">IF($D$8="Sorted by Amount",K35-(ROW(K35)/100000),M35-(ROW(M35)/100000))</f>
        <v>-714081.90035000013</v>
      </c>
      <c r="C35" s="9">
        <f t="shared" ref="C35:C54" si="13">RANK(B35,$B$34:$B$55,0)</f>
        <v>20</v>
      </c>
      <c r="D35" s="15" t="str">
        <f>"""NAV Direct"",""CRONUS JetCorp USA"",""23"",""1"",""V100007"""</f>
        <v>"NAV Direct","CRONUS JetCorp USA","23","1","V100007"</v>
      </c>
      <c r="G35" s="19" t="str">
        <f>"V100007"</f>
        <v>V100007</v>
      </c>
      <c r="H35" s="21"/>
      <c r="I35" s="22">
        <v>1612134.7899999998</v>
      </c>
      <c r="J35" s="22">
        <v>2326216.69</v>
      </c>
      <c r="K35" s="23">
        <f t="shared" si="10"/>
        <v>-714081.90000000014</v>
      </c>
      <c r="L35" s="13"/>
      <c r="M35" s="14">
        <f t="shared" si="11"/>
        <v>-0.44294180885458107</v>
      </c>
      <c r="N35" s="24"/>
    </row>
    <row r="36" spans="1:31" hidden="1" x14ac:dyDescent="0.25">
      <c r="A36" s="9" t="s">
        <v>147</v>
      </c>
      <c r="B36" s="18">
        <f t="shared" si="12"/>
        <v>-402268.59035999986</v>
      </c>
      <c r="C36" s="9">
        <f t="shared" si="13"/>
        <v>19</v>
      </c>
      <c r="D36" s="15" t="str">
        <f>"""NAV Direct"",""CRONUS JetCorp USA"",""23"",""1"",""V100040"""</f>
        <v>"NAV Direct","CRONUS JetCorp USA","23","1","V100040"</v>
      </c>
      <c r="G36" s="19" t="str">
        <f>"V100040"</f>
        <v>V100040</v>
      </c>
      <c r="H36" s="21"/>
      <c r="I36" s="22">
        <v>1195282.8400000001</v>
      </c>
      <c r="J36" s="22">
        <v>1597551.43</v>
      </c>
      <c r="K36" s="23">
        <f t="shared" si="10"/>
        <v>-402268.58999999985</v>
      </c>
      <c r="L36" s="13"/>
      <c r="M36" s="14">
        <f t="shared" si="11"/>
        <v>-0.33654677917069387</v>
      </c>
      <c r="N36" s="24"/>
    </row>
    <row r="37" spans="1:31" hidden="1" x14ac:dyDescent="0.25">
      <c r="A37" s="9" t="s">
        <v>147</v>
      </c>
      <c r="B37" s="18">
        <f t="shared" si="12"/>
        <v>-378501.48037000012</v>
      </c>
      <c r="C37" s="9">
        <f t="shared" si="13"/>
        <v>18</v>
      </c>
      <c r="D37" s="15" t="str">
        <f>"""NAV Direct"",""CRONUS JetCorp USA"",""23"",""1"",""V100003"""</f>
        <v>"NAV Direct","CRONUS JetCorp USA","23","1","V100003"</v>
      </c>
      <c r="G37" s="19" t="str">
        <f>"V100003"</f>
        <v>V100003</v>
      </c>
      <c r="H37" s="21"/>
      <c r="I37" s="22">
        <v>928349.59</v>
      </c>
      <c r="J37" s="22">
        <v>1306851.07</v>
      </c>
      <c r="K37" s="23">
        <f t="shared" si="10"/>
        <v>-378501.4800000001</v>
      </c>
      <c r="L37" s="13"/>
      <c r="M37" s="14">
        <f t="shared" si="11"/>
        <v>-0.40771438268206711</v>
      </c>
      <c r="N37" s="24"/>
    </row>
    <row r="38" spans="1:31" hidden="1" x14ac:dyDescent="0.25">
      <c r="A38" s="9" t="s">
        <v>147</v>
      </c>
      <c r="B38" s="18">
        <f t="shared" si="12"/>
        <v>-27184.450379999955</v>
      </c>
      <c r="C38" s="9">
        <f t="shared" si="13"/>
        <v>14</v>
      </c>
      <c r="D38" s="15" t="str">
        <f>"""NAV Direct"",""CRONUS JetCorp USA"",""23"",""1"",""V100006"""</f>
        <v>"NAV Direct","CRONUS JetCorp USA","23","1","V100006"</v>
      </c>
      <c r="G38" s="19" t="str">
        <f>"V100006"</f>
        <v>V100006</v>
      </c>
      <c r="H38" s="21"/>
      <c r="I38" s="22">
        <v>630807.73</v>
      </c>
      <c r="J38" s="22">
        <v>657992.17999999993</v>
      </c>
      <c r="K38" s="23">
        <f t="shared" si="10"/>
        <v>-27184.449999999953</v>
      </c>
      <c r="L38" s="13"/>
      <c r="M38" s="14">
        <f t="shared" si="11"/>
        <v>-4.3094668481630613E-2</v>
      </c>
      <c r="N38" s="24"/>
    </row>
    <row r="39" spans="1:31" hidden="1" x14ac:dyDescent="0.25">
      <c r="A39" s="9" t="s">
        <v>147</v>
      </c>
      <c r="B39" s="18">
        <f t="shared" si="12"/>
        <v>-88136.340390000085</v>
      </c>
      <c r="C39" s="9">
        <f t="shared" si="13"/>
        <v>16</v>
      </c>
      <c r="D39" s="15" t="str">
        <f>"""NAV Direct"",""CRONUS JetCorp USA"",""23"",""1"",""V100009"""</f>
        <v>"NAV Direct","CRONUS JetCorp USA","23","1","V100009"</v>
      </c>
      <c r="G39" s="19" t="str">
        <f>"V100009"</f>
        <v>V100009</v>
      </c>
      <c r="H39" s="21"/>
      <c r="I39" s="22">
        <v>513298.18999999994</v>
      </c>
      <c r="J39" s="22">
        <v>601434.53</v>
      </c>
      <c r="K39" s="23">
        <f t="shared" si="10"/>
        <v>-88136.340000000084</v>
      </c>
      <c r="L39" s="13"/>
      <c r="M39" s="14">
        <f t="shared" si="11"/>
        <v>-0.17170592399712162</v>
      </c>
      <c r="N39" s="24"/>
    </row>
    <row r="40" spans="1:31" hidden="1" x14ac:dyDescent="0.25">
      <c r="A40" s="9" t="s">
        <v>147</v>
      </c>
      <c r="B40" s="18">
        <f t="shared" si="12"/>
        <v>-40731.320400000004</v>
      </c>
      <c r="C40" s="9">
        <f t="shared" si="13"/>
        <v>15</v>
      </c>
      <c r="D40" s="15" t="str">
        <f>"""NAV Direct"",""CRONUS JetCorp USA"",""23"",""1"",""V100071"""</f>
        <v>"NAV Direct","CRONUS JetCorp USA","23","1","V100071"</v>
      </c>
      <c r="G40" s="19" t="str">
        <f>"V100071"</f>
        <v>V100071</v>
      </c>
      <c r="H40" s="21"/>
      <c r="I40" s="22">
        <v>386470.44</v>
      </c>
      <c r="J40" s="22">
        <v>427201.76</v>
      </c>
      <c r="K40" s="23">
        <f t="shared" si="10"/>
        <v>-40731.320000000007</v>
      </c>
      <c r="L40" s="13"/>
      <c r="M40" s="14">
        <f t="shared" si="11"/>
        <v>-0.1053931058737636</v>
      </c>
      <c r="N40" s="24"/>
    </row>
    <row r="41" spans="1:31" hidden="1" x14ac:dyDescent="0.25">
      <c r="A41" s="9" t="s">
        <v>147</v>
      </c>
      <c r="B41" s="18">
        <f t="shared" si="12"/>
        <v>64703.659590000032</v>
      </c>
      <c r="C41" s="9">
        <f t="shared" si="13"/>
        <v>1</v>
      </c>
      <c r="D41" s="15" t="str">
        <f>"""NAV Direct"",""CRONUS JetCorp USA"",""23"",""1"",""V100023"""</f>
        <v>"NAV Direct","CRONUS JetCorp USA","23","1","V100023"</v>
      </c>
      <c r="G41" s="19" t="str">
        <f>"V100023"</f>
        <v>V100023</v>
      </c>
      <c r="H41" s="21"/>
      <c r="I41" s="22">
        <v>266174.60000000003</v>
      </c>
      <c r="J41" s="22">
        <v>201470.94</v>
      </c>
      <c r="K41" s="23">
        <f t="shared" si="10"/>
        <v>64703.660000000033</v>
      </c>
      <c r="L41" s="13"/>
      <c r="M41" s="14">
        <f t="shared" si="11"/>
        <v>0.24308728180675401</v>
      </c>
      <c r="N41" s="24"/>
    </row>
    <row r="42" spans="1:31" hidden="1" x14ac:dyDescent="0.25">
      <c r="A42" s="9" t="s">
        <v>147</v>
      </c>
      <c r="B42" s="18">
        <f t="shared" si="12"/>
        <v>-97094.610420000041</v>
      </c>
      <c r="C42" s="9">
        <f t="shared" si="13"/>
        <v>17</v>
      </c>
      <c r="D42" s="15" t="str">
        <f>"""NAV Direct"",""CRONUS JetCorp USA"",""23"",""1"",""V100047"""</f>
        <v>"NAV Direct","CRONUS JetCorp USA","23","1","V100047"</v>
      </c>
      <c r="G42" s="19" t="str">
        <f>"V100047"</f>
        <v>V100047</v>
      </c>
      <c r="H42" s="21"/>
      <c r="I42" s="22">
        <v>214219.37</v>
      </c>
      <c r="J42" s="22">
        <v>311313.98000000004</v>
      </c>
      <c r="K42" s="23">
        <f t="shared" si="10"/>
        <v>-97094.610000000044</v>
      </c>
      <c r="L42" s="13"/>
      <c r="M42" s="14">
        <f t="shared" si="11"/>
        <v>-0.45324850875996903</v>
      </c>
      <c r="N42" s="24"/>
    </row>
    <row r="43" spans="1:31" hidden="1" x14ac:dyDescent="0.25">
      <c r="A43" s="9" t="s">
        <v>147</v>
      </c>
      <c r="B43" s="18">
        <f t="shared" si="12"/>
        <v>690.01957000001858</v>
      </c>
      <c r="C43" s="9">
        <f t="shared" si="13"/>
        <v>10</v>
      </c>
      <c r="D43" s="15" t="str">
        <f>"""NAV Direct"",""CRONUS JetCorp USA"",""23"",""1"",""V100005"""</f>
        <v>"NAV Direct","CRONUS JetCorp USA","23","1","V100005"</v>
      </c>
      <c r="G43" s="19" t="str">
        <f>"V100005"</f>
        <v>V100005</v>
      </c>
      <c r="H43" s="21"/>
      <c r="I43" s="22">
        <v>174795.51</v>
      </c>
      <c r="J43" s="22">
        <v>174105.49</v>
      </c>
      <c r="K43" s="23">
        <f t="shared" si="10"/>
        <v>690.02000000001863</v>
      </c>
      <c r="L43" s="13"/>
      <c r="M43" s="14">
        <f t="shared" si="11"/>
        <v>3.9475842371467012E-3</v>
      </c>
      <c r="N43" s="24"/>
    </row>
    <row r="44" spans="1:31" hidden="1" x14ac:dyDescent="0.25">
      <c r="A44" s="9" t="s">
        <v>147</v>
      </c>
      <c r="B44" s="18">
        <f t="shared" si="12"/>
        <v>-3099.650439999994</v>
      </c>
      <c r="C44" s="9">
        <f t="shared" si="13"/>
        <v>13</v>
      </c>
      <c r="D44" s="15" t="str">
        <f>"""NAV Direct"",""CRONUS JetCorp USA"",""23"",""1"",""V100069"""</f>
        <v>"NAV Direct","CRONUS JetCorp USA","23","1","V100069"</v>
      </c>
      <c r="G44" s="19" t="str">
        <f>"V100069"</f>
        <v>V100069</v>
      </c>
      <c r="H44" s="21"/>
      <c r="I44" s="22">
        <v>135503.95000000001</v>
      </c>
      <c r="J44" s="22">
        <v>138603.6</v>
      </c>
      <c r="K44" s="23">
        <f t="shared" si="10"/>
        <v>-3099.6499999999942</v>
      </c>
      <c r="L44" s="13"/>
      <c r="M44" s="14">
        <f t="shared" si="11"/>
        <v>-2.2874978921278634E-2</v>
      </c>
      <c r="N44" s="24"/>
    </row>
    <row r="45" spans="1:31" hidden="1" x14ac:dyDescent="0.25">
      <c r="A45" s="9" t="s">
        <v>147</v>
      </c>
      <c r="B45" s="18">
        <f t="shared" si="12"/>
        <v>19347.369549999996</v>
      </c>
      <c r="C45" s="9">
        <f t="shared" si="13"/>
        <v>3</v>
      </c>
      <c r="D45" s="15" t="str">
        <f>"""NAV Direct"",""CRONUS JetCorp USA"",""23"",""1"",""V100070"""</f>
        <v>"NAV Direct","CRONUS JetCorp USA","23","1","V100070"</v>
      </c>
      <c r="G45" s="19" t="str">
        <f>"V100070"</f>
        <v>V100070</v>
      </c>
      <c r="H45" s="21"/>
      <c r="I45" s="22">
        <v>76378.080000000002</v>
      </c>
      <c r="J45" s="22">
        <v>57030.710000000006</v>
      </c>
      <c r="K45" s="23">
        <f t="shared" si="10"/>
        <v>19347.369999999995</v>
      </c>
      <c r="L45" s="13"/>
      <c r="M45" s="14">
        <f t="shared" si="11"/>
        <v>0.25331050479404554</v>
      </c>
      <c r="N45" s="24"/>
    </row>
    <row r="46" spans="1:31" hidden="1" x14ac:dyDescent="0.25">
      <c r="A46" s="9" t="s">
        <v>147</v>
      </c>
      <c r="B46" s="18">
        <f t="shared" si="12"/>
        <v>22594.309540000002</v>
      </c>
      <c r="C46" s="9">
        <f t="shared" si="13"/>
        <v>2</v>
      </c>
      <c r="D46" s="15" t="str">
        <f>"""NAV Direct"",""CRONUS JetCorp USA"",""23"",""1"",""V100025"""</f>
        <v>"NAV Direct","CRONUS JetCorp USA","23","1","V100025"</v>
      </c>
      <c r="G46" s="19" t="str">
        <f>"V100025"</f>
        <v>V100025</v>
      </c>
      <c r="H46" s="21"/>
      <c r="I46" s="22">
        <v>41995.360000000001</v>
      </c>
      <c r="J46" s="22">
        <v>19401.05</v>
      </c>
      <c r="K46" s="23">
        <f t="shared" si="10"/>
        <v>22594.31</v>
      </c>
      <c r="L46" s="13"/>
      <c r="M46" s="14">
        <f t="shared" si="11"/>
        <v>0.53801920021640492</v>
      </c>
      <c r="N46" s="24"/>
    </row>
    <row r="47" spans="1:31" hidden="1" x14ac:dyDescent="0.25">
      <c r="A47" s="9" t="s">
        <v>147</v>
      </c>
      <c r="B47" s="18">
        <f t="shared" si="12"/>
        <v>2287.6395299999958</v>
      </c>
      <c r="C47" s="9">
        <f t="shared" si="13"/>
        <v>4</v>
      </c>
      <c r="D47" s="15" t="str">
        <f>"""NAV Direct"",""CRONUS JetCorp USA"",""23"",""1"",""V100078"""</f>
        <v>"NAV Direct","CRONUS JetCorp USA","23","1","V100078"</v>
      </c>
      <c r="G47" s="19" t="str">
        <f>"V100078"</f>
        <v>V100078</v>
      </c>
      <c r="H47" s="21"/>
      <c r="I47" s="22">
        <v>29817.679999999997</v>
      </c>
      <c r="J47" s="22">
        <v>27530.04</v>
      </c>
      <c r="K47" s="23">
        <f t="shared" si="10"/>
        <v>2287.6399999999958</v>
      </c>
      <c r="L47" s="13"/>
      <c r="M47" s="14">
        <f t="shared" si="11"/>
        <v>7.672092530337693E-2</v>
      </c>
      <c r="N47" s="24"/>
    </row>
    <row r="48" spans="1:31" hidden="1" x14ac:dyDescent="0.25">
      <c r="A48" s="9" t="s">
        <v>147</v>
      </c>
      <c r="B48" s="18">
        <f t="shared" si="12"/>
        <v>2004.5295199999953</v>
      </c>
      <c r="C48" s="9">
        <f t="shared" si="13"/>
        <v>5</v>
      </c>
      <c r="D48" s="15" t="str">
        <f>"""NAV Direct"",""CRONUS JetCorp USA"",""23"",""1"",""V100074"""</f>
        <v>"NAV Direct","CRONUS JetCorp USA","23","1","V100074"</v>
      </c>
      <c r="G48" s="19" t="str">
        <f>"V100074"</f>
        <v>V100074</v>
      </c>
      <c r="H48" s="21"/>
      <c r="I48" s="22">
        <v>24818.359999999997</v>
      </c>
      <c r="J48" s="22">
        <v>22813.83</v>
      </c>
      <c r="K48" s="23">
        <f t="shared" si="10"/>
        <v>2004.5299999999952</v>
      </c>
      <c r="L48" s="13"/>
      <c r="M48" s="14">
        <f t="shared" si="11"/>
        <v>8.0768028185584997E-2</v>
      </c>
      <c r="N48" s="24"/>
    </row>
    <row r="49" spans="1:31" hidden="1" x14ac:dyDescent="0.25">
      <c r="A49" s="9" t="s">
        <v>147</v>
      </c>
      <c r="B49" s="18">
        <f t="shared" si="12"/>
        <v>1773.5295099999953</v>
      </c>
      <c r="C49" s="9">
        <f t="shared" si="13"/>
        <v>7</v>
      </c>
      <c r="D49" s="15" t="str">
        <f>"""NAV Direct"",""CRONUS JetCorp USA"",""23"",""1"",""V100076"""</f>
        <v>"NAV Direct","CRONUS JetCorp USA","23","1","V100076"</v>
      </c>
      <c r="G49" s="19" t="str">
        <f>"V100076"</f>
        <v>V100076</v>
      </c>
      <c r="H49" s="21"/>
      <c r="I49" s="22">
        <v>24775.359999999997</v>
      </c>
      <c r="J49" s="22">
        <v>23001.83</v>
      </c>
      <c r="K49" s="23">
        <f t="shared" si="10"/>
        <v>1773.5299999999952</v>
      </c>
      <c r="L49" s="13"/>
      <c r="M49" s="14">
        <f t="shared" si="11"/>
        <v>7.1584429045632253E-2</v>
      </c>
      <c r="N49" s="24"/>
    </row>
    <row r="50" spans="1:31" hidden="1" x14ac:dyDescent="0.25">
      <c r="A50" s="9" t="s">
        <v>147</v>
      </c>
      <c r="B50" s="18">
        <f t="shared" si="12"/>
        <v>1851.5294999999987</v>
      </c>
      <c r="C50" s="9">
        <f t="shared" si="13"/>
        <v>6</v>
      </c>
      <c r="D50" s="15" t="str">
        <f>"""NAV Direct"",""CRONUS JetCorp USA"",""23"",""1"",""V100072"""</f>
        <v>"NAV Direct","CRONUS JetCorp USA","23","1","V100072"</v>
      </c>
      <c r="G50" s="19" t="str">
        <f>"V100072"</f>
        <v>V100072</v>
      </c>
      <c r="H50" s="21"/>
      <c r="I50" s="22">
        <v>24748.36</v>
      </c>
      <c r="J50" s="22">
        <v>22896.83</v>
      </c>
      <c r="K50" s="23">
        <f t="shared" si="10"/>
        <v>1851.5299999999988</v>
      </c>
      <c r="L50" s="13"/>
      <c r="M50" s="14">
        <f t="shared" si="11"/>
        <v>7.4814250318000819E-2</v>
      </c>
      <c r="N50" s="24"/>
    </row>
    <row r="51" spans="1:31" hidden="1" x14ac:dyDescent="0.25">
      <c r="A51" s="9" t="s">
        <v>147</v>
      </c>
      <c r="B51" s="18">
        <f t="shared" si="12"/>
        <v>1755.5294899999988</v>
      </c>
      <c r="C51" s="9">
        <f t="shared" si="13"/>
        <v>8</v>
      </c>
      <c r="D51" s="15" t="str">
        <f>"""NAV Direct"",""CRONUS JetCorp USA"",""23"",""1"",""V100075"""</f>
        <v>"NAV Direct","CRONUS JetCorp USA","23","1","V100075"</v>
      </c>
      <c r="G51" s="19" t="str">
        <f>"V100075"</f>
        <v>V100075</v>
      </c>
      <c r="H51" s="21"/>
      <c r="I51" s="22">
        <v>24747.360000000001</v>
      </c>
      <c r="J51" s="22">
        <v>22991.83</v>
      </c>
      <c r="K51" s="23">
        <f t="shared" si="10"/>
        <v>1755.5299999999988</v>
      </c>
      <c r="L51" s="13"/>
      <c r="M51" s="14">
        <f t="shared" si="11"/>
        <v>7.0938071778161332E-2</v>
      </c>
      <c r="N51" s="24"/>
    </row>
    <row r="52" spans="1:31" hidden="1" x14ac:dyDescent="0.25">
      <c r="A52" s="9" t="s">
        <v>147</v>
      </c>
      <c r="B52" s="18">
        <f t="shared" si="12"/>
        <v>921.20947999999908</v>
      </c>
      <c r="C52" s="9">
        <f t="shared" si="13"/>
        <v>9</v>
      </c>
      <c r="D52" s="15" t="str">
        <f>"""NAV Direct"",""CRONUS JetCorp USA"",""23"",""1"",""V100073"""</f>
        <v>"NAV Direct","CRONUS JetCorp USA","23","1","V100073"</v>
      </c>
      <c r="G52" s="19" t="str">
        <f>"V100073"</f>
        <v>V100073</v>
      </c>
      <c r="H52" s="21"/>
      <c r="I52" s="22">
        <v>10134.519999999999</v>
      </c>
      <c r="J52" s="22">
        <v>9213.31</v>
      </c>
      <c r="K52" s="23">
        <f t="shared" si="10"/>
        <v>921.20999999999913</v>
      </c>
      <c r="L52" s="13"/>
      <c r="M52" s="14">
        <f t="shared" si="11"/>
        <v>9.0898236916992545E-2</v>
      </c>
      <c r="N52" s="24"/>
    </row>
    <row r="53" spans="1:31" hidden="1" x14ac:dyDescent="0.25">
      <c r="A53" s="9" t="s">
        <v>147</v>
      </c>
      <c r="B53" s="18">
        <f t="shared" si="12"/>
        <v>108.61947000000001</v>
      </c>
      <c r="C53" s="9">
        <f t="shared" si="13"/>
        <v>11</v>
      </c>
      <c r="D53" s="15" t="str">
        <f>"""NAV Direct"",""CRONUS JetCorp USA"",""23"",""1"",""V100077"""</f>
        <v>"NAV Direct","CRONUS JetCorp USA","23","1","V100077"</v>
      </c>
      <c r="G53" s="19" t="str">
        <f>"V100077"</f>
        <v>V100077</v>
      </c>
      <c r="H53" s="21"/>
      <c r="I53" s="22">
        <v>1003.44</v>
      </c>
      <c r="J53" s="22">
        <v>894.82</v>
      </c>
      <c r="K53" s="23">
        <f t="shared" si="10"/>
        <v>108.62</v>
      </c>
      <c r="L53" s="13"/>
      <c r="M53" s="14">
        <f t="shared" si="11"/>
        <v>0.10824762815913258</v>
      </c>
      <c r="N53" s="24"/>
    </row>
    <row r="54" spans="1:31" hidden="1" x14ac:dyDescent="0.25">
      <c r="A54" s="9" t="s">
        <v>147</v>
      </c>
      <c r="B54" s="18">
        <f t="shared" si="12"/>
        <v>88.199459999999988</v>
      </c>
      <c r="C54" s="9">
        <f t="shared" si="13"/>
        <v>12</v>
      </c>
      <c r="D54" s="15" t="str">
        <f>"""NAV Direct"",""CRONUS JetCorp USA"",""23"",""1"",""V100002"""</f>
        <v>"NAV Direct","CRONUS JetCorp USA","23","1","V100002"</v>
      </c>
      <c r="G54" s="19" t="str">
        <f>"V100002"</f>
        <v>V100002</v>
      </c>
      <c r="H54" s="21"/>
      <c r="I54" s="22">
        <v>352.8</v>
      </c>
      <c r="J54" s="22">
        <v>264.60000000000002</v>
      </c>
      <c r="K54" s="23">
        <f t="shared" si="10"/>
        <v>88.199999999999989</v>
      </c>
      <c r="L54" s="13"/>
      <c r="M54" s="14">
        <f t="shared" si="11"/>
        <v>0.24999999999999997</v>
      </c>
      <c r="N54" s="24"/>
    </row>
    <row r="55" spans="1:31" ht="15.75" hidden="1" thickBot="1" x14ac:dyDescent="0.3">
      <c r="A55" s="9" t="s">
        <v>2</v>
      </c>
      <c r="D55" s="15"/>
      <c r="G55" s="26"/>
      <c r="H55" s="20"/>
      <c r="I55" s="27"/>
      <c r="J55" s="27"/>
      <c r="K55" s="27"/>
      <c r="L55" s="27"/>
      <c r="M55" s="20"/>
      <c r="N55" s="25"/>
    </row>
    <row r="56" spans="1:31" ht="15" customHeight="1" x14ac:dyDescent="0.25">
      <c r="D56" s="15"/>
      <c r="G56" s="17"/>
      <c r="H56" s="5"/>
      <c r="I56" s="6"/>
      <c r="J56" s="6"/>
      <c r="K56" s="4"/>
      <c r="L56" s="4"/>
      <c r="M56" s="4"/>
      <c r="N56" s="4"/>
      <c r="O56" s="4"/>
      <c r="P56" s="4"/>
      <c r="Q56" s="4"/>
      <c r="R56" s="4"/>
      <c r="S56" s="4"/>
      <c r="T56" s="4"/>
      <c r="U56" s="4"/>
      <c r="V56" s="4"/>
      <c r="W56" s="4"/>
      <c r="X56" s="4"/>
      <c r="Y56" s="4"/>
      <c r="Z56" s="4"/>
      <c r="AA56" s="4"/>
      <c r="AB56" s="4"/>
      <c r="AC56" s="4"/>
      <c r="AD56" s="4"/>
      <c r="AE56" s="4"/>
    </row>
    <row r="57" spans="1:31" ht="21.75" customHeight="1" x14ac:dyDescent="0.25">
      <c r="B57" s="150" t="s">
        <v>35</v>
      </c>
      <c r="C57" s="151"/>
    </row>
    <row r="58" spans="1:31" ht="21.75" customHeight="1" x14ac:dyDescent="0.25">
      <c r="B58" s="152"/>
      <c r="C58" s="153"/>
    </row>
    <row r="59" spans="1:31" ht="21.75" customHeight="1" x14ac:dyDescent="0.25">
      <c r="B59" s="152"/>
      <c r="C59" s="153"/>
      <c r="K59" s="23"/>
      <c r="L59" s="13"/>
      <c r="M59" s="14"/>
    </row>
    <row r="60" spans="1:31" ht="21.75" customHeight="1" x14ac:dyDescent="0.25">
      <c r="B60" s="152"/>
      <c r="C60" s="153"/>
    </row>
    <row r="61" spans="1:31" ht="21.75" customHeight="1" x14ac:dyDescent="0.25">
      <c r="B61" s="154"/>
      <c r="C61" s="155"/>
    </row>
    <row r="62" spans="1:31" s="4" customFormat="1" ht="15" customHeight="1" x14ac:dyDescent="0.25">
      <c r="A62" s="9"/>
      <c r="B62" s="9"/>
      <c r="C62" s="9"/>
      <c r="D62" s="9"/>
      <c r="G62"/>
      <c r="H62"/>
      <c r="I62" s="1"/>
      <c r="J62" s="1"/>
      <c r="K62"/>
      <c r="L62"/>
      <c r="M62"/>
      <c r="N62"/>
      <c r="O62"/>
      <c r="P62"/>
      <c r="Q62"/>
      <c r="R62"/>
      <c r="S62"/>
      <c r="T62"/>
      <c r="U62"/>
      <c r="V62"/>
      <c r="W62"/>
      <c r="X62"/>
      <c r="Y62"/>
      <c r="Z62"/>
      <c r="AA62"/>
      <c r="AB62"/>
      <c r="AC62"/>
      <c r="AD62"/>
      <c r="AE62"/>
    </row>
    <row r="63" spans="1:31" ht="15" customHeight="1" x14ac:dyDescent="0.25"/>
    <row r="64" spans="1:31" ht="15" customHeight="1" x14ac:dyDescent="0.25"/>
    <row r="65" spans="1:31" s="4" customFormat="1" ht="15" customHeight="1" x14ac:dyDescent="0.25">
      <c r="A65" s="9"/>
      <c r="B65" s="9"/>
      <c r="C65" s="9"/>
      <c r="D65" s="9"/>
      <c r="G65"/>
      <c r="H65"/>
      <c r="I65" s="1"/>
      <c r="J65" s="1"/>
      <c r="K65"/>
      <c r="L65"/>
      <c r="M65"/>
      <c r="N65"/>
      <c r="O65"/>
      <c r="P65"/>
      <c r="Q65"/>
      <c r="R65"/>
      <c r="S65"/>
      <c r="T65"/>
      <c r="U65"/>
      <c r="V65"/>
      <c r="W65"/>
      <c r="X65"/>
      <c r="Y65"/>
      <c r="Z65"/>
      <c r="AA65"/>
      <c r="AB65"/>
      <c r="AC65"/>
      <c r="AD65"/>
      <c r="AE65"/>
    </row>
    <row r="66" spans="1:31" ht="15" customHeight="1" x14ac:dyDescent="0.25"/>
  </sheetData>
  <mergeCells count="19">
    <mergeCell ref="F4:I4"/>
    <mergeCell ref="O12:P12"/>
    <mergeCell ref="R12:R13"/>
    <mergeCell ref="K32:L32"/>
    <mergeCell ref="M32:N32"/>
    <mergeCell ref="F5:I5"/>
    <mergeCell ref="I31:J31"/>
    <mergeCell ref="I12:J12"/>
    <mergeCell ref="K12:L13"/>
    <mergeCell ref="M12:N13"/>
    <mergeCell ref="G12:G13"/>
    <mergeCell ref="H12:H13"/>
    <mergeCell ref="F12:F13"/>
    <mergeCell ref="F10:H10"/>
    <mergeCell ref="B57:C61"/>
    <mergeCell ref="Q10:S10"/>
    <mergeCell ref="G30:Q30"/>
    <mergeCell ref="Q12:Q13"/>
    <mergeCell ref="G26:K26"/>
  </mergeCells>
  <conditionalFormatting sqref="N24 N14">
    <cfRule type="dataBar" priority="485">
      <dataBar showValue="0">
        <cfvo type="num" val="0"/>
        <cfvo type="formula" val="MAX($N$14:$N$24)"/>
        <color theme="5" tint="-0.249977111117893"/>
      </dataBar>
    </cfRule>
  </conditionalFormatting>
  <conditionalFormatting sqref="L24 L14">
    <cfRule type="dataBar" priority="487">
      <dataBar showValue="0">
        <cfvo type="num" val="0"/>
        <cfvo type="formula" val="MAX($L$14:$L$24)"/>
        <color theme="5" tint="-0.249977111117893"/>
      </dataBar>
    </cfRule>
  </conditionalFormatting>
  <conditionalFormatting sqref="N15:N23">
    <cfRule type="dataBar" priority="1">
      <dataBar showValue="0">
        <cfvo type="num" val="0"/>
        <cfvo type="formula" val="MAX($N$14:$N$24)"/>
        <color theme="5" tint="-0.249977111117893"/>
      </dataBar>
    </cfRule>
  </conditionalFormatting>
  <conditionalFormatting sqref="L15:L23">
    <cfRule type="dataBar" priority="2">
      <dataBar showValue="0">
        <cfvo type="num" val="0"/>
        <cfvo type="formula" val="MAX($L$14:$L$24)"/>
        <color theme="5" tint="-0.249977111117893"/>
      </dataBar>
    </cfRule>
  </conditionalFormatting>
  <pageMargins left="0.35433070866141703" right="0.23622047244094499" top="0.78740157480314998" bottom="0.78740157480314998" header="0.31496062992126" footer="0.31496062992126"/>
  <pageSetup paperSize="9" scale="56"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sheetData>
    <row r="1" spans="1:6" x14ac:dyDescent="0.25">
      <c r="A1" s="126" t="s">
        <v>624</v>
      </c>
      <c r="C1" s="126" t="s">
        <v>3</v>
      </c>
      <c r="D1" s="126" t="s">
        <v>4</v>
      </c>
      <c r="E1" s="126" t="s">
        <v>0</v>
      </c>
      <c r="F1" s="126" t="s">
        <v>53</v>
      </c>
    </row>
    <row r="4" spans="1:6" x14ac:dyDescent="0.25">
      <c r="C4" s="126" t="s">
        <v>5</v>
      </c>
    </row>
    <row r="5" spans="1:6" x14ac:dyDescent="0.25">
      <c r="A5" s="126" t="s">
        <v>1</v>
      </c>
      <c r="C5" s="126" t="s">
        <v>11</v>
      </c>
      <c r="D5" s="126" t="s">
        <v>73</v>
      </c>
      <c r="F5" s="126" t="s">
        <v>52</v>
      </c>
    </row>
    <row r="6" spans="1:6" x14ac:dyDescent="0.25">
      <c r="A6" s="126" t="s">
        <v>1</v>
      </c>
      <c r="C6" s="126" t="s">
        <v>12</v>
      </c>
      <c r="D6" s="126" t="s">
        <v>74</v>
      </c>
      <c r="F6" s="126" t="s">
        <v>52</v>
      </c>
    </row>
    <row r="7" spans="1:6" x14ac:dyDescent="0.25">
      <c r="A7" s="126" t="s">
        <v>1</v>
      </c>
      <c r="C7" s="126" t="s">
        <v>30</v>
      </c>
      <c r="D7" s="126" t="s">
        <v>32</v>
      </c>
      <c r="E7" s="126" t="s">
        <v>75</v>
      </c>
    </row>
    <row r="8" spans="1:6" x14ac:dyDescent="0.25">
      <c r="A8" s="126" t="s">
        <v>1</v>
      </c>
      <c r="C8" s="126" t="s">
        <v>29</v>
      </c>
      <c r="D8" s="126" t="s">
        <v>32</v>
      </c>
      <c r="E8" s="126" t="s">
        <v>76</v>
      </c>
    </row>
    <row r="9" spans="1:6" x14ac:dyDescent="0.25">
      <c r="A9" s="126" t="s">
        <v>1</v>
      </c>
      <c r="C9" s="126" t="s">
        <v>34</v>
      </c>
      <c r="D9" s="126" t="s">
        <v>77</v>
      </c>
    </row>
    <row r="10" spans="1:6" x14ac:dyDescent="0.25">
      <c r="A10" s="126" t="s">
        <v>1</v>
      </c>
      <c r="C10" s="126" t="s">
        <v>6</v>
      </c>
      <c r="D10" s="126" t="s">
        <v>78</v>
      </c>
      <c r="E10" s="126" t="s">
        <v>79</v>
      </c>
    </row>
    <row r="11" spans="1:6" x14ac:dyDescent="0.25">
      <c r="A11" s="126" t="s">
        <v>1</v>
      </c>
      <c r="C11" s="126" t="s">
        <v>45</v>
      </c>
      <c r="D11" s="126" t="s">
        <v>80</v>
      </c>
      <c r="E11" s="126" t="s">
        <v>81</v>
      </c>
    </row>
    <row r="12" spans="1:6" x14ac:dyDescent="0.25">
      <c r="C12" s="126" t="s">
        <v>46</v>
      </c>
      <c r="D12" s="126" t="s">
        <v>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sheetData>
    <row r="1" spans="1:6" x14ac:dyDescent="0.25">
      <c r="A1" s="126" t="s">
        <v>624</v>
      </c>
      <c r="C1" s="126" t="s">
        <v>3</v>
      </c>
      <c r="D1" s="126" t="s">
        <v>4</v>
      </c>
      <c r="E1" s="126" t="s">
        <v>0</v>
      </c>
      <c r="F1" s="126" t="s">
        <v>53</v>
      </c>
    </row>
    <row r="4" spans="1:6" x14ac:dyDescent="0.25">
      <c r="C4" s="126" t="s">
        <v>5</v>
      </c>
    </row>
    <row r="5" spans="1:6" x14ac:dyDescent="0.25">
      <c r="A5" s="126" t="s">
        <v>1</v>
      </c>
      <c r="C5" s="126" t="s">
        <v>11</v>
      </c>
      <c r="D5" s="126" t="s">
        <v>73</v>
      </c>
      <c r="F5" s="126" t="s">
        <v>52</v>
      </c>
    </row>
    <row r="6" spans="1:6" x14ac:dyDescent="0.25">
      <c r="A6" s="126" t="s">
        <v>1</v>
      </c>
      <c r="C6" s="126" t="s">
        <v>12</v>
      </c>
      <c r="D6" s="126" t="s">
        <v>74</v>
      </c>
      <c r="F6" s="126" t="s">
        <v>52</v>
      </c>
    </row>
    <row r="7" spans="1:6" x14ac:dyDescent="0.25">
      <c r="A7" s="126" t="s">
        <v>1</v>
      </c>
      <c r="C7" s="126" t="s">
        <v>30</v>
      </c>
      <c r="D7" s="126" t="s">
        <v>32</v>
      </c>
      <c r="E7" s="126" t="s">
        <v>75</v>
      </c>
    </row>
    <row r="8" spans="1:6" x14ac:dyDescent="0.25">
      <c r="A8" s="126" t="s">
        <v>1</v>
      </c>
      <c r="C8" s="126" t="s">
        <v>29</v>
      </c>
      <c r="D8" s="126" t="s">
        <v>32</v>
      </c>
      <c r="E8" s="126" t="s">
        <v>76</v>
      </c>
    </row>
    <row r="9" spans="1:6" x14ac:dyDescent="0.25">
      <c r="A9" s="126" t="s">
        <v>1</v>
      </c>
      <c r="C9" s="126" t="s">
        <v>34</v>
      </c>
      <c r="D9" s="126" t="s">
        <v>77</v>
      </c>
    </row>
    <row r="10" spans="1:6" x14ac:dyDescent="0.25">
      <c r="A10" s="126" t="s">
        <v>1</v>
      </c>
      <c r="C10" s="126" t="s">
        <v>6</v>
      </c>
      <c r="D10" s="126" t="s">
        <v>78</v>
      </c>
      <c r="E10" s="126" t="s">
        <v>79</v>
      </c>
    </row>
    <row r="11" spans="1:6" x14ac:dyDescent="0.25">
      <c r="A11" s="126" t="s">
        <v>1</v>
      </c>
      <c r="C11" s="126" t="s">
        <v>45</v>
      </c>
      <c r="D11" s="126" t="s">
        <v>80</v>
      </c>
      <c r="E11" s="126" t="s">
        <v>81</v>
      </c>
    </row>
    <row r="12" spans="1:6" x14ac:dyDescent="0.25">
      <c r="C12" s="126" t="s">
        <v>46</v>
      </c>
      <c r="D12" s="126" t="s">
        <v>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heetViews>
  <sheetFormatPr defaultRowHeight="15" x14ac:dyDescent="0.25"/>
  <sheetData>
    <row r="1" spans="1:19" x14ac:dyDescent="0.25">
      <c r="A1" s="126" t="s">
        <v>625</v>
      </c>
      <c r="B1" s="126" t="s">
        <v>36</v>
      </c>
      <c r="C1" s="126" t="s">
        <v>13</v>
      </c>
      <c r="D1" s="126" t="s">
        <v>13</v>
      </c>
      <c r="F1" s="126" t="s">
        <v>10</v>
      </c>
      <c r="G1" s="126" t="s">
        <v>10</v>
      </c>
      <c r="H1" s="126" t="s">
        <v>10</v>
      </c>
      <c r="K1" s="126" t="s">
        <v>10</v>
      </c>
      <c r="M1" s="126" t="s">
        <v>10</v>
      </c>
      <c r="R1" s="126" t="s">
        <v>2</v>
      </c>
      <c r="S1" s="126" t="s">
        <v>38</v>
      </c>
    </row>
    <row r="2" spans="1:19" x14ac:dyDescent="0.25">
      <c r="A2" s="126" t="s">
        <v>2</v>
      </c>
      <c r="K2" s="126" t="s">
        <v>19</v>
      </c>
      <c r="M2" s="126" t="s">
        <v>19</v>
      </c>
    </row>
    <row r="3" spans="1:19" x14ac:dyDescent="0.25">
      <c r="C3" s="126" t="s">
        <v>11</v>
      </c>
      <c r="D3" s="126" t="s">
        <v>83</v>
      </c>
    </row>
    <row r="4" spans="1:19" x14ac:dyDescent="0.25">
      <c r="C4" s="126" t="s">
        <v>12</v>
      </c>
      <c r="D4" s="126" t="s">
        <v>84</v>
      </c>
      <c r="F4" s="126" t="s">
        <v>39</v>
      </c>
    </row>
    <row r="5" spans="1:19" x14ac:dyDescent="0.25">
      <c r="C5" s="126" t="s">
        <v>30</v>
      </c>
      <c r="D5" s="126" t="s">
        <v>85</v>
      </c>
      <c r="F5" s="126" t="s">
        <v>86</v>
      </c>
    </row>
    <row r="6" spans="1:19" x14ac:dyDescent="0.25">
      <c r="C6" s="126" t="s">
        <v>29</v>
      </c>
      <c r="D6" s="126" t="s">
        <v>87</v>
      </c>
    </row>
    <row r="7" spans="1:19" x14ac:dyDescent="0.25">
      <c r="C7" s="126" t="s">
        <v>34</v>
      </c>
      <c r="D7" s="126" t="s">
        <v>88</v>
      </c>
      <c r="G7" s="126" t="s">
        <v>89</v>
      </c>
      <c r="H7" s="126" t="s">
        <v>90</v>
      </c>
    </row>
    <row r="8" spans="1:19" x14ac:dyDescent="0.25">
      <c r="C8" s="126" t="s">
        <v>6</v>
      </c>
      <c r="D8" s="126" t="s">
        <v>91</v>
      </c>
      <c r="G8" s="126" t="s">
        <v>92</v>
      </c>
      <c r="H8" s="126" t="s">
        <v>93</v>
      </c>
    </row>
    <row r="9" spans="1:19" x14ac:dyDescent="0.25">
      <c r="C9" s="126" t="s">
        <v>45</v>
      </c>
      <c r="D9" s="126" t="s">
        <v>94</v>
      </c>
      <c r="S9" s="126" t="s">
        <v>21</v>
      </c>
    </row>
    <row r="10" spans="1:19" x14ac:dyDescent="0.25">
      <c r="C10" s="126" t="s">
        <v>46</v>
      </c>
      <c r="D10" s="126" t="s">
        <v>95</v>
      </c>
      <c r="F10" s="126" t="s">
        <v>96</v>
      </c>
      <c r="Q10" s="126" t="s">
        <v>97</v>
      </c>
    </row>
    <row r="12" spans="1:19" x14ac:dyDescent="0.25">
      <c r="F12" s="126" t="s">
        <v>40</v>
      </c>
      <c r="G12" s="126" t="s">
        <v>41</v>
      </c>
      <c r="H12" s="126" t="s">
        <v>16</v>
      </c>
      <c r="I12" s="126" t="s">
        <v>15</v>
      </c>
      <c r="K12" s="126" t="s">
        <v>18</v>
      </c>
      <c r="M12" s="126" t="s">
        <v>7</v>
      </c>
      <c r="O12" s="126" t="s">
        <v>42</v>
      </c>
      <c r="Q12" s="126" t="s">
        <v>30</v>
      </c>
      <c r="R12" s="126" t="s">
        <v>37</v>
      </c>
      <c r="S12" s="126" t="s">
        <v>31</v>
      </c>
    </row>
    <row r="13" spans="1:19" x14ac:dyDescent="0.25">
      <c r="B13" s="126" t="s">
        <v>44</v>
      </c>
      <c r="D13" s="126" t="s">
        <v>47</v>
      </c>
      <c r="I13" s="126" t="s">
        <v>98</v>
      </c>
      <c r="J13" s="126" t="s">
        <v>99</v>
      </c>
      <c r="O13" s="126" t="s">
        <v>98</v>
      </c>
      <c r="P13" s="126" t="s">
        <v>99</v>
      </c>
    </row>
    <row r="14" spans="1:19" x14ac:dyDescent="0.25">
      <c r="B14" s="126" t="s">
        <v>100</v>
      </c>
      <c r="D14" s="126" t="s">
        <v>101</v>
      </c>
      <c r="F14" s="126" t="s">
        <v>102</v>
      </c>
      <c r="G14" s="126" t="s">
        <v>103</v>
      </c>
      <c r="H14" s="126" t="s">
        <v>104</v>
      </c>
      <c r="I14" s="126" t="s">
        <v>105</v>
      </c>
      <c r="J14" s="126" t="s">
        <v>106</v>
      </c>
      <c r="K14" s="126" t="s">
        <v>107</v>
      </c>
      <c r="L14" s="126" t="s">
        <v>108</v>
      </c>
      <c r="M14" s="126" t="s">
        <v>109</v>
      </c>
      <c r="N14" s="126" t="s">
        <v>110</v>
      </c>
      <c r="O14" s="126" t="s">
        <v>111</v>
      </c>
      <c r="P14" s="126" t="s">
        <v>112</v>
      </c>
      <c r="Q14" s="126" t="s">
        <v>113</v>
      </c>
      <c r="R14" s="126" t="s">
        <v>114</v>
      </c>
      <c r="S14" s="126" t="s">
        <v>115</v>
      </c>
    </row>
    <row r="17" spans="1:13" x14ac:dyDescent="0.25">
      <c r="G17" s="126" t="s">
        <v>116</v>
      </c>
    </row>
    <row r="21" spans="1:13" x14ac:dyDescent="0.25">
      <c r="A21" s="126" t="s">
        <v>13</v>
      </c>
      <c r="G21" s="126" t="s">
        <v>117</v>
      </c>
    </row>
    <row r="22" spans="1:13" x14ac:dyDescent="0.25">
      <c r="A22" s="126" t="s">
        <v>13</v>
      </c>
      <c r="I22" s="126" t="s">
        <v>15</v>
      </c>
    </row>
    <row r="23" spans="1:13" x14ac:dyDescent="0.25">
      <c r="A23" s="126" t="s">
        <v>13</v>
      </c>
      <c r="G23" s="126" t="s">
        <v>14</v>
      </c>
      <c r="I23" s="126" t="s">
        <v>98</v>
      </c>
      <c r="J23" s="126" t="s">
        <v>99</v>
      </c>
      <c r="K23" s="126" t="s">
        <v>18</v>
      </c>
      <c r="M23" s="126" t="s">
        <v>7</v>
      </c>
    </row>
    <row r="24" spans="1:13" x14ac:dyDescent="0.25">
      <c r="A24" s="126" t="s">
        <v>13</v>
      </c>
      <c r="B24" s="126" t="s">
        <v>9</v>
      </c>
      <c r="C24" s="126" t="s">
        <v>8</v>
      </c>
    </row>
    <row r="25" spans="1:13" x14ac:dyDescent="0.25">
      <c r="A25" s="126" t="s">
        <v>13</v>
      </c>
      <c r="B25" s="126" t="s">
        <v>118</v>
      </c>
      <c r="C25" s="126" t="s">
        <v>119</v>
      </c>
      <c r="D25" s="126" t="s">
        <v>120</v>
      </c>
      <c r="G25" s="126" t="s">
        <v>121</v>
      </c>
      <c r="I25" s="126" t="s">
        <v>122</v>
      </c>
      <c r="J25" s="126" t="s">
        <v>123</v>
      </c>
      <c r="K25" s="126" t="s">
        <v>124</v>
      </c>
      <c r="M25" s="126" t="s">
        <v>125</v>
      </c>
    </row>
    <row r="26" spans="1:13" x14ac:dyDescent="0.25">
      <c r="A26" s="126" t="s">
        <v>13</v>
      </c>
    </row>
    <row r="29" spans="1:13" x14ac:dyDescent="0.25">
      <c r="B29" s="126" t="s">
        <v>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heetViews>
  <sheetFormatPr defaultRowHeight="15" x14ac:dyDescent="0.25"/>
  <sheetData>
    <row r="1" spans="1:19" x14ac:dyDescent="0.25">
      <c r="A1" s="126" t="s">
        <v>625</v>
      </c>
      <c r="B1" s="126" t="s">
        <v>36</v>
      </c>
      <c r="C1" s="126" t="s">
        <v>13</v>
      </c>
      <c r="D1" s="126" t="s">
        <v>13</v>
      </c>
      <c r="F1" s="126" t="s">
        <v>10</v>
      </c>
      <c r="G1" s="126" t="s">
        <v>10</v>
      </c>
      <c r="H1" s="126" t="s">
        <v>10</v>
      </c>
      <c r="K1" s="126" t="s">
        <v>10</v>
      </c>
      <c r="M1" s="126" t="s">
        <v>10</v>
      </c>
      <c r="R1" s="126" t="s">
        <v>2</v>
      </c>
      <c r="S1" s="126" t="s">
        <v>38</v>
      </c>
    </row>
    <row r="2" spans="1:19" x14ac:dyDescent="0.25">
      <c r="A2" s="126" t="s">
        <v>2</v>
      </c>
      <c r="K2" s="126" t="s">
        <v>19</v>
      </c>
      <c r="M2" s="126" t="s">
        <v>19</v>
      </c>
    </row>
    <row r="3" spans="1:19" x14ac:dyDescent="0.25">
      <c r="C3" s="126" t="s">
        <v>11</v>
      </c>
      <c r="D3" s="126" t="s">
        <v>83</v>
      </c>
    </row>
    <row r="4" spans="1:19" x14ac:dyDescent="0.25">
      <c r="C4" s="126" t="s">
        <v>12</v>
      </c>
      <c r="D4" s="126" t="s">
        <v>84</v>
      </c>
      <c r="F4" s="126" t="s">
        <v>39</v>
      </c>
    </row>
    <row r="5" spans="1:19" x14ac:dyDescent="0.25">
      <c r="C5" s="126" t="s">
        <v>30</v>
      </c>
      <c r="D5" s="126" t="s">
        <v>85</v>
      </c>
      <c r="F5" s="126" t="s">
        <v>86</v>
      </c>
    </row>
    <row r="6" spans="1:19" x14ac:dyDescent="0.25">
      <c r="C6" s="126" t="s">
        <v>29</v>
      </c>
      <c r="D6" s="126" t="s">
        <v>87</v>
      </c>
    </row>
    <row r="7" spans="1:19" x14ac:dyDescent="0.25">
      <c r="C7" s="126" t="s">
        <v>34</v>
      </c>
      <c r="D7" s="126" t="s">
        <v>88</v>
      </c>
      <c r="G7" s="126" t="s">
        <v>89</v>
      </c>
      <c r="H7" s="126" t="s">
        <v>90</v>
      </c>
    </row>
    <row r="8" spans="1:19" x14ac:dyDescent="0.25">
      <c r="C8" s="126" t="s">
        <v>6</v>
      </c>
      <c r="D8" s="126" t="s">
        <v>91</v>
      </c>
      <c r="G8" s="126" t="s">
        <v>92</v>
      </c>
      <c r="H8" s="126" t="s">
        <v>93</v>
      </c>
    </row>
    <row r="9" spans="1:19" x14ac:dyDescent="0.25">
      <c r="C9" s="126" t="s">
        <v>45</v>
      </c>
      <c r="D9" s="126" t="s">
        <v>94</v>
      </c>
      <c r="S9" s="126" t="s">
        <v>21</v>
      </c>
    </row>
    <row r="10" spans="1:19" x14ac:dyDescent="0.25">
      <c r="C10" s="126" t="s">
        <v>46</v>
      </c>
      <c r="D10" s="126" t="s">
        <v>95</v>
      </c>
      <c r="F10" s="126" t="s">
        <v>96</v>
      </c>
      <c r="Q10" s="126" t="s">
        <v>97</v>
      </c>
    </row>
    <row r="12" spans="1:19" x14ac:dyDescent="0.25">
      <c r="F12" s="126" t="s">
        <v>40</v>
      </c>
      <c r="G12" s="126" t="s">
        <v>41</v>
      </c>
      <c r="H12" s="126" t="s">
        <v>16</v>
      </c>
      <c r="I12" s="126" t="s">
        <v>15</v>
      </c>
      <c r="K12" s="126" t="s">
        <v>18</v>
      </c>
      <c r="M12" s="126" t="s">
        <v>7</v>
      </c>
      <c r="O12" s="126" t="s">
        <v>42</v>
      </c>
      <c r="Q12" s="126" t="s">
        <v>30</v>
      </c>
      <c r="R12" s="126" t="s">
        <v>37</v>
      </c>
      <c r="S12" s="126" t="s">
        <v>31</v>
      </c>
    </row>
    <row r="13" spans="1:19" x14ac:dyDescent="0.25">
      <c r="B13" s="126" t="s">
        <v>44</v>
      </c>
      <c r="D13" s="126" t="s">
        <v>47</v>
      </c>
      <c r="I13" s="126" t="s">
        <v>98</v>
      </c>
      <c r="J13" s="126" t="s">
        <v>99</v>
      </c>
      <c r="O13" s="126" t="s">
        <v>98</v>
      </c>
      <c r="P13" s="126" t="s">
        <v>99</v>
      </c>
    </row>
    <row r="14" spans="1:19" x14ac:dyDescent="0.25">
      <c r="B14" s="126" t="s">
        <v>100</v>
      </c>
      <c r="D14" s="126" t="s">
        <v>101</v>
      </c>
      <c r="F14" s="126" t="s">
        <v>102</v>
      </c>
      <c r="G14" s="126" t="s">
        <v>103</v>
      </c>
      <c r="H14" s="126" t="s">
        <v>104</v>
      </c>
      <c r="I14" s="126" t="s">
        <v>105</v>
      </c>
      <c r="J14" s="126" t="s">
        <v>106</v>
      </c>
      <c r="K14" s="126" t="s">
        <v>107</v>
      </c>
      <c r="L14" s="126" t="s">
        <v>108</v>
      </c>
      <c r="M14" s="126" t="s">
        <v>109</v>
      </c>
      <c r="N14" s="126" t="s">
        <v>110</v>
      </c>
      <c r="O14" s="126" t="s">
        <v>111</v>
      </c>
      <c r="P14" s="126" t="s">
        <v>112</v>
      </c>
      <c r="Q14" s="126" t="s">
        <v>113</v>
      </c>
      <c r="R14" s="126" t="s">
        <v>114</v>
      </c>
      <c r="S14" s="126" t="s">
        <v>115</v>
      </c>
    </row>
    <row r="17" spans="1:13" x14ac:dyDescent="0.25">
      <c r="G17" s="126" t="s">
        <v>116</v>
      </c>
    </row>
    <row r="21" spans="1:13" x14ac:dyDescent="0.25">
      <c r="A21" s="126" t="s">
        <v>13</v>
      </c>
      <c r="G21" s="126" t="s">
        <v>117</v>
      </c>
    </row>
    <row r="22" spans="1:13" x14ac:dyDescent="0.25">
      <c r="A22" s="126" t="s">
        <v>13</v>
      </c>
      <c r="I22" s="126" t="s">
        <v>15</v>
      </c>
    </row>
    <row r="23" spans="1:13" x14ac:dyDescent="0.25">
      <c r="A23" s="126" t="s">
        <v>13</v>
      </c>
      <c r="G23" s="126" t="s">
        <v>14</v>
      </c>
      <c r="I23" s="126" t="s">
        <v>98</v>
      </c>
      <c r="J23" s="126" t="s">
        <v>99</v>
      </c>
      <c r="K23" s="126" t="s">
        <v>18</v>
      </c>
      <c r="M23" s="126" t="s">
        <v>7</v>
      </c>
    </row>
    <row r="24" spans="1:13" x14ac:dyDescent="0.25">
      <c r="A24" s="126" t="s">
        <v>13</v>
      </c>
      <c r="B24" s="126" t="s">
        <v>9</v>
      </c>
      <c r="C24" s="126" t="s">
        <v>8</v>
      </c>
    </row>
    <row r="25" spans="1:13" x14ac:dyDescent="0.25">
      <c r="A25" s="126" t="s">
        <v>13</v>
      </c>
      <c r="B25" s="126" t="s">
        <v>118</v>
      </c>
      <c r="C25" s="126" t="s">
        <v>119</v>
      </c>
      <c r="D25" s="126" t="s">
        <v>120</v>
      </c>
      <c r="G25" s="126" t="s">
        <v>121</v>
      </c>
      <c r="I25" s="126" t="s">
        <v>122</v>
      </c>
      <c r="J25" s="126" t="s">
        <v>123</v>
      </c>
      <c r="K25" s="126" t="s">
        <v>124</v>
      </c>
      <c r="M25" s="126" t="s">
        <v>125</v>
      </c>
    </row>
    <row r="26" spans="1:13" x14ac:dyDescent="0.25">
      <c r="A26" s="126" t="s">
        <v>13</v>
      </c>
    </row>
    <row r="29" spans="1:13" x14ac:dyDescent="0.25">
      <c r="B29" s="126" t="s">
        <v>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RowHeight="15" x14ac:dyDescent="0.25"/>
  <sheetData>
    <row r="1" spans="1:19" x14ac:dyDescent="0.25">
      <c r="A1" s="126" t="s">
        <v>626</v>
      </c>
      <c r="B1" s="126" t="s">
        <v>36</v>
      </c>
      <c r="C1" s="126" t="s">
        <v>13</v>
      </c>
      <c r="D1" s="126" t="s">
        <v>13</v>
      </c>
      <c r="F1" s="126" t="s">
        <v>10</v>
      </c>
      <c r="G1" s="126" t="s">
        <v>10</v>
      </c>
      <c r="H1" s="126" t="s">
        <v>10</v>
      </c>
      <c r="K1" s="126" t="s">
        <v>10</v>
      </c>
      <c r="M1" s="126" t="s">
        <v>10</v>
      </c>
      <c r="R1" s="126" t="s">
        <v>2</v>
      </c>
      <c r="S1" s="126" t="s">
        <v>10</v>
      </c>
    </row>
    <row r="2" spans="1:19" x14ac:dyDescent="0.25">
      <c r="A2" s="126" t="s">
        <v>2</v>
      </c>
      <c r="K2" s="126" t="s">
        <v>19</v>
      </c>
      <c r="M2" s="126" t="s">
        <v>19</v>
      </c>
    </row>
    <row r="3" spans="1:19" x14ac:dyDescent="0.25">
      <c r="C3" s="126" t="s">
        <v>11</v>
      </c>
      <c r="D3" s="126" t="s">
        <v>83</v>
      </c>
    </row>
    <row r="4" spans="1:19" x14ac:dyDescent="0.25">
      <c r="C4" s="126" t="s">
        <v>12</v>
      </c>
      <c r="D4" s="126" t="s">
        <v>84</v>
      </c>
      <c r="F4" s="126" t="s">
        <v>43</v>
      </c>
    </row>
    <row r="5" spans="1:19" x14ac:dyDescent="0.25">
      <c r="C5" s="126" t="s">
        <v>30</v>
      </c>
      <c r="D5" s="126" t="s">
        <v>85</v>
      </c>
      <c r="F5" s="126" t="s">
        <v>86</v>
      </c>
    </row>
    <row r="6" spans="1:19" x14ac:dyDescent="0.25">
      <c r="C6" s="126" t="s">
        <v>29</v>
      </c>
      <c r="D6" s="126" t="s">
        <v>87</v>
      </c>
    </row>
    <row r="7" spans="1:19" x14ac:dyDescent="0.25">
      <c r="C7" s="126" t="s">
        <v>34</v>
      </c>
      <c r="D7" s="126" t="s">
        <v>88</v>
      </c>
      <c r="G7" s="126" t="s">
        <v>89</v>
      </c>
      <c r="H7" s="126" t="s">
        <v>90</v>
      </c>
    </row>
    <row r="8" spans="1:19" x14ac:dyDescent="0.25">
      <c r="C8" s="126" t="s">
        <v>6</v>
      </c>
      <c r="D8" s="126" t="s">
        <v>91</v>
      </c>
      <c r="G8" s="126" t="s">
        <v>92</v>
      </c>
      <c r="H8" s="126" t="s">
        <v>93</v>
      </c>
    </row>
    <row r="9" spans="1:19" x14ac:dyDescent="0.25">
      <c r="C9" s="126" t="s">
        <v>45</v>
      </c>
      <c r="D9" s="126" t="s">
        <v>94</v>
      </c>
      <c r="S9" s="126" t="s">
        <v>21</v>
      </c>
    </row>
    <row r="10" spans="1:19" x14ac:dyDescent="0.25">
      <c r="C10" s="126" t="s">
        <v>46</v>
      </c>
      <c r="D10" s="126" t="s">
        <v>95</v>
      </c>
      <c r="F10" s="126" t="s">
        <v>96</v>
      </c>
      <c r="Q10" s="126" t="s">
        <v>97</v>
      </c>
    </row>
    <row r="12" spans="1:19" x14ac:dyDescent="0.25">
      <c r="F12" s="126" t="s">
        <v>40</v>
      </c>
      <c r="G12" s="126" t="s">
        <v>41</v>
      </c>
      <c r="H12" s="126" t="s">
        <v>16</v>
      </c>
      <c r="I12" s="126" t="s">
        <v>15</v>
      </c>
      <c r="K12" s="126" t="s">
        <v>17</v>
      </c>
      <c r="M12" s="126" t="s">
        <v>7</v>
      </c>
      <c r="O12" s="126" t="s">
        <v>42</v>
      </c>
      <c r="Q12" s="126" t="s">
        <v>30</v>
      </c>
      <c r="R12" s="126" t="s">
        <v>37</v>
      </c>
      <c r="S12" s="126" t="s">
        <v>31</v>
      </c>
    </row>
    <row r="13" spans="1:19" x14ac:dyDescent="0.25">
      <c r="B13" s="126" t="s">
        <v>33</v>
      </c>
      <c r="D13" s="126" t="s">
        <v>47</v>
      </c>
      <c r="I13" s="126" t="s">
        <v>126</v>
      </c>
      <c r="J13" s="126" t="s">
        <v>127</v>
      </c>
      <c r="O13" s="126" t="s">
        <v>126</v>
      </c>
      <c r="P13" s="126" t="s">
        <v>127</v>
      </c>
    </row>
    <row r="14" spans="1:19" x14ac:dyDescent="0.25">
      <c r="B14" s="126" t="s">
        <v>128</v>
      </c>
      <c r="D14" s="126" t="s">
        <v>101</v>
      </c>
      <c r="F14" s="126" t="s">
        <v>102</v>
      </c>
      <c r="G14" s="126" t="s">
        <v>103</v>
      </c>
      <c r="H14" s="126" t="s">
        <v>104</v>
      </c>
      <c r="I14" s="126" t="s">
        <v>129</v>
      </c>
      <c r="J14" s="126" t="s">
        <v>130</v>
      </c>
      <c r="K14" s="126" t="s">
        <v>131</v>
      </c>
      <c r="L14" s="126" t="s">
        <v>132</v>
      </c>
      <c r="M14" s="126" t="s">
        <v>133</v>
      </c>
      <c r="N14" s="126" t="s">
        <v>134</v>
      </c>
      <c r="O14" s="126" t="s">
        <v>135</v>
      </c>
      <c r="P14" s="126" t="s">
        <v>136</v>
      </c>
      <c r="Q14" s="126" t="s">
        <v>113</v>
      </c>
      <c r="R14" s="126" t="s">
        <v>114</v>
      </c>
      <c r="S14" s="126" t="s">
        <v>115</v>
      </c>
    </row>
    <row r="17" spans="1:13" x14ac:dyDescent="0.25">
      <c r="G17" s="126" t="s">
        <v>116</v>
      </c>
    </row>
    <row r="21" spans="1:13" x14ac:dyDescent="0.25">
      <c r="A21" s="126" t="s">
        <v>2</v>
      </c>
      <c r="G21" s="126" t="s">
        <v>137</v>
      </c>
    </row>
    <row r="22" spans="1:13" x14ac:dyDescent="0.25">
      <c r="A22" s="126" t="s">
        <v>2</v>
      </c>
      <c r="I22" s="126" t="s">
        <v>15</v>
      </c>
    </row>
    <row r="23" spans="1:13" x14ac:dyDescent="0.25">
      <c r="A23" s="126" t="s">
        <v>2</v>
      </c>
      <c r="G23" s="126" t="s">
        <v>14</v>
      </c>
      <c r="I23" s="126" t="s">
        <v>138</v>
      </c>
      <c r="J23" s="126" t="s">
        <v>139</v>
      </c>
      <c r="K23" s="126" t="s">
        <v>17</v>
      </c>
      <c r="M23" s="126" t="s">
        <v>7</v>
      </c>
    </row>
    <row r="24" spans="1:13" x14ac:dyDescent="0.25">
      <c r="A24" s="126" t="s">
        <v>2</v>
      </c>
      <c r="B24" s="126" t="s">
        <v>9</v>
      </c>
      <c r="C24" s="126" t="s">
        <v>8</v>
      </c>
    </row>
    <row r="25" spans="1:13" x14ac:dyDescent="0.25">
      <c r="A25" s="126" t="s">
        <v>2</v>
      </c>
      <c r="B25" s="126" t="s">
        <v>118</v>
      </c>
      <c r="C25" s="126" t="s">
        <v>119</v>
      </c>
      <c r="D25" s="126" t="s">
        <v>140</v>
      </c>
      <c r="G25" s="126" t="s">
        <v>121</v>
      </c>
      <c r="I25" s="126" t="s">
        <v>141</v>
      </c>
      <c r="J25" s="126" t="s">
        <v>142</v>
      </c>
      <c r="K25" s="126" t="s">
        <v>143</v>
      </c>
      <c r="M25" s="126" t="s">
        <v>144</v>
      </c>
    </row>
    <row r="26" spans="1:13" x14ac:dyDescent="0.25">
      <c r="A26" s="126" t="s">
        <v>2</v>
      </c>
    </row>
    <row r="28" spans="1:13" x14ac:dyDescent="0.25">
      <c r="B28" s="126"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READ ME</vt:lpstr>
      <vt:lpstr>Option</vt:lpstr>
      <vt:lpstr>Rising Stars - Vendors</vt:lpstr>
      <vt:lpstr>Falling Stars - Vendors</vt:lpstr>
      <vt:lpstr>Country_Code</vt:lpstr>
      <vt:lpstr>Most_recent_Period</vt:lpstr>
      <vt:lpstr>No_of_Vendors_Desplayed</vt:lpstr>
      <vt:lpstr>'Falling Stars - Vendors'!Print_Area</vt:lpstr>
      <vt:lpstr>'Rising Stars - Vendors'!Print_Area</vt:lpstr>
      <vt:lpstr>Prior_Period</vt:lpstr>
      <vt:lpstr>Sales_Exceeding</vt:lpstr>
      <vt:lpstr>Sorting</vt:lpstr>
      <vt:lpstr>Top_vendors_to_examine</vt:lpstr>
      <vt:lpstr>Vendor_Posting_group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Vendor Rising Stars and Falling Stars</dc:title>
  <dc:subject>Jet Reports</dc:subject>
  <dc:creator>Peter Brandt</dc:creator>
  <dc:description>Display of vendors with the largest growth - and vendors with the largest decline across two time periods</dc:description>
  <cp:lastModifiedBy>Kim R. Duey</cp:lastModifiedBy>
  <cp:lastPrinted>2010-07-20T01:01:32Z</cp:lastPrinted>
  <dcterms:created xsi:type="dcterms:W3CDTF">2010-01-07T20:43:41Z</dcterms:created>
  <dcterms:modified xsi:type="dcterms:W3CDTF">2018-10-01T16:04:14Z</dcterms:modified>
  <cp:category>Purchasing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false</vt:bool>
  </property>
  <property fmtid="{D5CDD505-2E9C-101B-9397-08002B2CF9AE}" pid="3" name="Jet Reports Function Literals">
    <vt:lpwstr>,	;	,	{	}	[@[{0}]]	1033</vt:lpwstr>
  </property>
</Properties>
</file>