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5950" windowHeight="9825"/>
  </bookViews>
  <sheets>
    <sheet name="Read Me" sheetId="104" r:id="rId1"/>
    <sheet name="Options" sheetId="1" state="hidden" r:id="rId2"/>
    <sheet name="Report" sheetId="2" r:id="rId3"/>
    <sheet name="Sheet2" sheetId="105" state="veryHidden" r:id="rId4"/>
    <sheet name="Sheet3" sheetId="106" state="veryHidden" r:id="rId5"/>
    <sheet name="Sheet4" sheetId="107" state="veryHidden" r:id="rId6"/>
    <sheet name="Sheet5" sheetId="108" state="veryHidden" r:id="rId7"/>
    <sheet name="Sheet6" sheetId="109" state="veryHidden" r:id="rId8"/>
    <sheet name="Sheet7" sheetId="110" state="veryHidden" r:id="rId9"/>
  </sheets>
  <definedNames>
    <definedName name="Genprodpostinggroup">Options!$C$6</definedName>
    <definedName name="ItemNo">Options!$C$8</definedName>
    <definedName name="_xlnm.Print_Area" localSheetId="2">Report!$A$1</definedName>
    <definedName name="Productgroupcode">Options!$C$7</definedName>
  </definedNames>
  <calcPr calcId="162913"/>
</workbook>
</file>

<file path=xl/calcChain.xml><?xml version="1.0" encoding="utf-8"?>
<calcChain xmlns="http://schemas.openxmlformats.org/spreadsheetml/2006/main">
  <c r="D6" i="1" l="1"/>
  <c r="D7" i="1"/>
  <c r="D8" i="1"/>
  <c r="C4" i="2"/>
  <c r="I8" i="2" s="1"/>
  <c r="C5" i="2"/>
  <c r="N8" i="2" s="1"/>
  <c r="F6" i="2"/>
  <c r="F7" i="2"/>
  <c r="F8" i="2"/>
  <c r="B9" i="2"/>
  <c r="E12" i="2"/>
  <c r="C12" i="2" s="1"/>
  <c r="C13" i="2" s="1"/>
  <c r="F13" i="2"/>
  <c r="G13" i="2"/>
  <c r="K13" i="2"/>
  <c r="L13" i="2"/>
  <c r="F14" i="2"/>
  <c r="G14" i="2"/>
  <c r="K14" i="2"/>
  <c r="L14" i="2"/>
  <c r="F15" i="2"/>
  <c r="G15" i="2"/>
  <c r="K15" i="2"/>
  <c r="L15" i="2"/>
  <c r="F16" i="2"/>
  <c r="G16" i="2"/>
  <c r="K16" i="2"/>
  <c r="L16" i="2" s="1"/>
  <c r="F17" i="2"/>
  <c r="G17" i="2"/>
  <c r="K17" i="2"/>
  <c r="L17" i="2" s="1"/>
  <c r="F18" i="2"/>
  <c r="G18" i="2"/>
  <c r="K18" i="2"/>
  <c r="L18" i="2"/>
  <c r="F19" i="2"/>
  <c r="G19" i="2"/>
  <c r="K19" i="2"/>
  <c r="L19" i="2"/>
  <c r="F20" i="2"/>
  <c r="G20" i="2"/>
  <c r="K20" i="2"/>
  <c r="L20" i="2" s="1"/>
  <c r="F21" i="2"/>
  <c r="G21" i="2"/>
  <c r="K21" i="2"/>
  <c r="L21" i="2"/>
  <c r="F22" i="2"/>
  <c r="G22" i="2"/>
  <c r="K22" i="2"/>
  <c r="L22" i="2"/>
  <c r="F23" i="2"/>
  <c r="G23" i="2"/>
  <c r="K23" i="2"/>
  <c r="L23" i="2"/>
  <c r="H25" i="2"/>
  <c r="I25" i="2"/>
  <c r="J25" i="2"/>
  <c r="N25" i="2"/>
  <c r="O25" i="2"/>
  <c r="E27" i="2"/>
  <c r="H34" i="2" s="1"/>
  <c r="F28" i="2"/>
  <c r="G28" i="2"/>
  <c r="K28" i="2"/>
  <c r="L28" i="2" s="1"/>
  <c r="F29" i="2"/>
  <c r="G29" i="2"/>
  <c r="K29" i="2"/>
  <c r="L29" i="2" s="1"/>
  <c r="W29" i="2" s="1"/>
  <c r="X29" i="2" s="1"/>
  <c r="F30" i="2"/>
  <c r="G30" i="2"/>
  <c r="K30" i="2"/>
  <c r="L30" i="2"/>
  <c r="F31" i="2"/>
  <c r="G31" i="2"/>
  <c r="K31" i="2"/>
  <c r="L31" i="2"/>
  <c r="F32" i="2"/>
  <c r="G32" i="2"/>
  <c r="K32" i="2"/>
  <c r="L32" i="2" s="1"/>
  <c r="I34" i="2"/>
  <c r="J34" i="2"/>
  <c r="N34" i="2"/>
  <c r="O34" i="2"/>
  <c r="E36" i="2"/>
  <c r="C36" i="2" s="1"/>
  <c r="C37" i="2" s="1"/>
  <c r="F37" i="2"/>
  <c r="G37" i="2"/>
  <c r="K37" i="2"/>
  <c r="L37" i="2" s="1"/>
  <c r="F38" i="2"/>
  <c r="G38" i="2"/>
  <c r="K38" i="2"/>
  <c r="L38" i="2"/>
  <c r="F39" i="2"/>
  <c r="G39" i="2"/>
  <c r="K39" i="2"/>
  <c r="L39" i="2"/>
  <c r="F40" i="2"/>
  <c r="G40" i="2"/>
  <c r="K40" i="2"/>
  <c r="L40" i="2" s="1"/>
  <c r="F41" i="2"/>
  <c r="G41" i="2"/>
  <c r="K41" i="2"/>
  <c r="L41" i="2" s="1"/>
  <c r="H43" i="2"/>
  <c r="I43" i="2"/>
  <c r="J43" i="2"/>
  <c r="N43" i="2"/>
  <c r="O43" i="2"/>
  <c r="C45" i="2"/>
  <c r="C46" i="2" s="1"/>
  <c r="C47" i="2" s="1"/>
  <c r="C48" i="2" s="1"/>
  <c r="C49" i="2" s="1"/>
  <c r="E45" i="2"/>
  <c r="F46" i="2"/>
  <c r="G46" i="2"/>
  <c r="K46" i="2"/>
  <c r="L46" i="2"/>
  <c r="H48" i="2"/>
  <c r="I48" i="2"/>
  <c r="J48" i="2"/>
  <c r="L48" i="2" s="1"/>
  <c r="K48" i="2"/>
  <c r="N48" i="2"/>
  <c r="O48" i="2"/>
  <c r="C50" i="2"/>
  <c r="C51" i="2" s="1"/>
  <c r="E50" i="2"/>
  <c r="F51" i="2"/>
  <c r="G51" i="2"/>
  <c r="K51" i="2"/>
  <c r="K57" i="2" s="1"/>
  <c r="L51" i="2"/>
  <c r="F52" i="2"/>
  <c r="G52" i="2"/>
  <c r="K52" i="2"/>
  <c r="L52" i="2" s="1"/>
  <c r="F53" i="2"/>
  <c r="G53" i="2"/>
  <c r="K53" i="2"/>
  <c r="L53" i="2" s="1"/>
  <c r="F54" i="2"/>
  <c r="G54" i="2"/>
  <c r="K54" i="2"/>
  <c r="L54" i="2"/>
  <c r="F55" i="2"/>
  <c r="G55" i="2"/>
  <c r="K55" i="2"/>
  <c r="L55" i="2"/>
  <c r="H57" i="2"/>
  <c r="I57" i="2"/>
  <c r="J57" i="2"/>
  <c r="N57" i="2"/>
  <c r="O57" i="2"/>
  <c r="E59" i="2"/>
  <c r="H66" i="2" s="1"/>
  <c r="F60" i="2"/>
  <c r="G60" i="2"/>
  <c r="K60" i="2"/>
  <c r="L60" i="2" s="1"/>
  <c r="F61" i="2"/>
  <c r="G61" i="2"/>
  <c r="K61" i="2"/>
  <c r="L61" i="2" s="1"/>
  <c r="F62" i="2"/>
  <c r="G62" i="2"/>
  <c r="K62" i="2"/>
  <c r="L62" i="2"/>
  <c r="F63" i="2"/>
  <c r="G63" i="2"/>
  <c r="K63" i="2"/>
  <c r="L63" i="2"/>
  <c r="F64" i="2"/>
  <c r="G64" i="2"/>
  <c r="K64" i="2"/>
  <c r="L64" i="2" s="1"/>
  <c r="I66" i="2"/>
  <c r="J66" i="2"/>
  <c r="N66" i="2"/>
  <c r="O66" i="2"/>
  <c r="E68" i="2"/>
  <c r="C68" i="2" s="1"/>
  <c r="C69" i="2" s="1"/>
  <c r="C70" i="2" s="1"/>
  <c r="C71" i="2" s="1"/>
  <c r="C72" i="2" s="1"/>
  <c r="F69" i="2"/>
  <c r="G69" i="2"/>
  <c r="K69" i="2"/>
  <c r="L69" i="2"/>
  <c r="H71" i="2"/>
  <c r="I71" i="2"/>
  <c r="J71" i="2"/>
  <c r="L71" i="2" s="1"/>
  <c r="K71" i="2"/>
  <c r="N71" i="2"/>
  <c r="O71" i="2"/>
  <c r="C73" i="2"/>
  <c r="E73" i="2"/>
  <c r="C74" i="2"/>
  <c r="C75" i="2" s="1"/>
  <c r="C76" i="2" s="1"/>
  <c r="C77" i="2" s="1"/>
  <c r="C78" i="2" s="1"/>
  <c r="F74" i="2"/>
  <c r="G74" i="2"/>
  <c r="K74" i="2"/>
  <c r="L74" i="2" s="1"/>
  <c r="F75" i="2"/>
  <c r="G75" i="2"/>
  <c r="K75" i="2"/>
  <c r="K80" i="2" s="1"/>
  <c r="L75" i="2"/>
  <c r="F76" i="2"/>
  <c r="G76" i="2"/>
  <c r="K76" i="2"/>
  <c r="L76" i="2"/>
  <c r="F77" i="2"/>
  <c r="G77" i="2"/>
  <c r="K77" i="2"/>
  <c r="L77" i="2"/>
  <c r="F78" i="2"/>
  <c r="G78" i="2"/>
  <c r="K78" i="2"/>
  <c r="L78" i="2"/>
  <c r="C79" i="2"/>
  <c r="C80" i="2" s="1"/>
  <c r="C81" i="2" s="1"/>
  <c r="H80" i="2"/>
  <c r="I80" i="2"/>
  <c r="J80" i="2"/>
  <c r="L80" i="2" s="1"/>
  <c r="N80" i="2"/>
  <c r="O80" i="2"/>
  <c r="C82" i="2"/>
  <c r="C83" i="2" s="1"/>
  <c r="E82" i="2"/>
  <c r="F83" i="2"/>
  <c r="G83" i="2"/>
  <c r="K83" i="2"/>
  <c r="L83" i="2"/>
  <c r="F84" i="2"/>
  <c r="G84" i="2"/>
  <c r="K84" i="2"/>
  <c r="L84" i="2"/>
  <c r="F85" i="2"/>
  <c r="G85" i="2"/>
  <c r="K85" i="2"/>
  <c r="L85" i="2"/>
  <c r="F86" i="2"/>
  <c r="G86" i="2"/>
  <c r="K86" i="2"/>
  <c r="L86" i="2"/>
  <c r="F87" i="2"/>
  <c r="G87" i="2"/>
  <c r="K87" i="2"/>
  <c r="L87" i="2"/>
  <c r="F88" i="2"/>
  <c r="G88" i="2"/>
  <c r="K88" i="2"/>
  <c r="L88" i="2" s="1"/>
  <c r="F89" i="2"/>
  <c r="G89" i="2"/>
  <c r="K89" i="2"/>
  <c r="L89" i="2" s="1"/>
  <c r="F90" i="2"/>
  <c r="G90" i="2"/>
  <c r="K90" i="2"/>
  <c r="L90" i="2" s="1"/>
  <c r="F91" i="2"/>
  <c r="G91" i="2"/>
  <c r="K91" i="2"/>
  <c r="L91" i="2"/>
  <c r="F92" i="2"/>
  <c r="G92" i="2"/>
  <c r="K92" i="2"/>
  <c r="L92" i="2"/>
  <c r="F93" i="2"/>
  <c r="G93" i="2"/>
  <c r="K93" i="2"/>
  <c r="L93" i="2"/>
  <c r="F94" i="2"/>
  <c r="G94" i="2"/>
  <c r="K94" i="2"/>
  <c r="L94" i="2"/>
  <c r="F95" i="2"/>
  <c r="G95" i="2"/>
  <c r="K95" i="2"/>
  <c r="L95" i="2"/>
  <c r="F96" i="2"/>
  <c r="G96" i="2"/>
  <c r="K96" i="2"/>
  <c r="L96" i="2" s="1"/>
  <c r="F97" i="2"/>
  <c r="G97" i="2"/>
  <c r="K97" i="2"/>
  <c r="L97" i="2" s="1"/>
  <c r="F98" i="2"/>
  <c r="G98" i="2"/>
  <c r="K98" i="2"/>
  <c r="L98" i="2" s="1"/>
  <c r="F99" i="2"/>
  <c r="G99" i="2"/>
  <c r="K99" i="2"/>
  <c r="L99" i="2"/>
  <c r="F100" i="2"/>
  <c r="G100" i="2"/>
  <c r="K100" i="2"/>
  <c r="L100" i="2"/>
  <c r="F101" i="2"/>
  <c r="G101" i="2"/>
  <c r="K101" i="2"/>
  <c r="L101" i="2"/>
  <c r="H103" i="2"/>
  <c r="I103" i="2"/>
  <c r="J103" i="2"/>
  <c r="L103" i="2" s="1"/>
  <c r="K103" i="2"/>
  <c r="N103" i="2"/>
  <c r="O103" i="2"/>
  <c r="C105" i="2"/>
  <c r="E105" i="2"/>
  <c r="C106" i="2"/>
  <c r="C107" i="2" s="1"/>
  <c r="C108" i="2" s="1"/>
  <c r="C109" i="2" s="1"/>
  <c r="C110" i="2" s="1"/>
  <c r="F106" i="2"/>
  <c r="G106" i="2"/>
  <c r="K106" i="2"/>
  <c r="L106" i="2" s="1"/>
  <c r="F107" i="2"/>
  <c r="G107" i="2"/>
  <c r="K107" i="2"/>
  <c r="K112" i="2" s="1"/>
  <c r="L107" i="2"/>
  <c r="F108" i="2"/>
  <c r="G108" i="2"/>
  <c r="K108" i="2"/>
  <c r="L108" i="2"/>
  <c r="F109" i="2"/>
  <c r="G109" i="2"/>
  <c r="K109" i="2"/>
  <c r="L109" i="2"/>
  <c r="F110" i="2"/>
  <c r="G110" i="2"/>
  <c r="K110" i="2"/>
  <c r="L110" i="2"/>
  <c r="C111" i="2"/>
  <c r="C112" i="2" s="1"/>
  <c r="C113" i="2" s="1"/>
  <c r="H112" i="2"/>
  <c r="I112" i="2"/>
  <c r="J112" i="2"/>
  <c r="L112" i="2" s="1"/>
  <c r="N112" i="2"/>
  <c r="O112" i="2"/>
  <c r="C114" i="2"/>
  <c r="C115" i="2" s="1"/>
  <c r="E114" i="2"/>
  <c r="F115" i="2"/>
  <c r="G115" i="2"/>
  <c r="K115" i="2"/>
  <c r="K121" i="2" s="1"/>
  <c r="L121" i="2" s="1"/>
  <c r="L115" i="2"/>
  <c r="F116" i="2"/>
  <c r="G116" i="2"/>
  <c r="K116" i="2"/>
  <c r="L116" i="2"/>
  <c r="F117" i="2"/>
  <c r="G117" i="2"/>
  <c r="K117" i="2"/>
  <c r="L117" i="2"/>
  <c r="F118" i="2"/>
  <c r="G118" i="2"/>
  <c r="K118" i="2"/>
  <c r="L118" i="2"/>
  <c r="F119" i="2"/>
  <c r="G119" i="2"/>
  <c r="K119" i="2"/>
  <c r="L119" i="2" s="1"/>
  <c r="H121" i="2"/>
  <c r="I121" i="2"/>
  <c r="J121" i="2"/>
  <c r="N121" i="2"/>
  <c r="O121" i="2"/>
  <c r="E123" i="2"/>
  <c r="H130" i="2" s="1"/>
  <c r="F124" i="2"/>
  <c r="G124" i="2"/>
  <c r="K124" i="2"/>
  <c r="L124" i="2"/>
  <c r="F125" i="2"/>
  <c r="G125" i="2"/>
  <c r="K125" i="2"/>
  <c r="L125" i="2"/>
  <c r="F126" i="2"/>
  <c r="G126" i="2"/>
  <c r="K126" i="2"/>
  <c r="L126" i="2"/>
  <c r="F127" i="2"/>
  <c r="G127" i="2"/>
  <c r="K127" i="2"/>
  <c r="L127" i="2" s="1"/>
  <c r="F128" i="2"/>
  <c r="G128" i="2"/>
  <c r="K128" i="2"/>
  <c r="L128" i="2" s="1"/>
  <c r="I130" i="2"/>
  <c r="J130" i="2"/>
  <c r="N130" i="2"/>
  <c r="O130" i="2"/>
  <c r="E132" i="2"/>
  <c r="H139" i="2" s="1"/>
  <c r="F133" i="2"/>
  <c r="G133" i="2"/>
  <c r="K133" i="2"/>
  <c r="L133" i="2"/>
  <c r="F134" i="2"/>
  <c r="G134" i="2"/>
  <c r="K134" i="2"/>
  <c r="L134" i="2"/>
  <c r="F135" i="2"/>
  <c r="G135" i="2"/>
  <c r="K135" i="2"/>
  <c r="L135" i="2" s="1"/>
  <c r="F136" i="2"/>
  <c r="G136" i="2"/>
  <c r="K136" i="2"/>
  <c r="L136" i="2" s="1"/>
  <c r="F137" i="2"/>
  <c r="G137" i="2"/>
  <c r="K137" i="2"/>
  <c r="L137" i="2" s="1"/>
  <c r="I139" i="2"/>
  <c r="J139" i="2"/>
  <c r="N139" i="2"/>
  <c r="O139" i="2"/>
  <c r="E141" i="2"/>
  <c r="C141" i="2" s="1"/>
  <c r="C142" i="2" s="1"/>
  <c r="F142" i="2"/>
  <c r="G142" i="2"/>
  <c r="K142" i="2"/>
  <c r="L142" i="2"/>
  <c r="F143" i="2"/>
  <c r="G143" i="2"/>
  <c r="K143" i="2"/>
  <c r="K148" i="2" s="1"/>
  <c r="F144" i="2"/>
  <c r="G144" i="2"/>
  <c r="K144" i="2"/>
  <c r="L144" i="2" s="1"/>
  <c r="F145" i="2"/>
  <c r="G145" i="2"/>
  <c r="K145" i="2"/>
  <c r="L145" i="2" s="1"/>
  <c r="F146" i="2"/>
  <c r="G146" i="2"/>
  <c r="K146" i="2"/>
  <c r="L146" i="2" s="1"/>
  <c r="I148" i="2"/>
  <c r="J148" i="2"/>
  <c r="L148" i="2" s="1"/>
  <c r="N148" i="2"/>
  <c r="O148" i="2"/>
  <c r="E150" i="2"/>
  <c r="H157" i="2" s="1"/>
  <c r="F151" i="2"/>
  <c r="G151" i="2"/>
  <c r="K151" i="2"/>
  <c r="L151" i="2" s="1"/>
  <c r="F152" i="2"/>
  <c r="G152" i="2"/>
  <c r="K152" i="2"/>
  <c r="L152" i="2" s="1"/>
  <c r="F153" i="2"/>
  <c r="G153" i="2"/>
  <c r="K153" i="2"/>
  <c r="L153" i="2" s="1"/>
  <c r="F154" i="2"/>
  <c r="G154" i="2"/>
  <c r="K154" i="2"/>
  <c r="L154" i="2" s="1"/>
  <c r="F155" i="2"/>
  <c r="G155" i="2"/>
  <c r="K155" i="2"/>
  <c r="L155" i="2"/>
  <c r="I157" i="2"/>
  <c r="J157" i="2"/>
  <c r="N157" i="2"/>
  <c r="O157" i="2"/>
  <c r="E159" i="2"/>
  <c r="C159" i="2" s="1"/>
  <c r="C160" i="2" s="1"/>
  <c r="F160" i="2"/>
  <c r="G160" i="2"/>
  <c r="K160" i="2"/>
  <c r="L160" i="2" s="1"/>
  <c r="F161" i="2"/>
  <c r="G161" i="2"/>
  <c r="K161" i="2"/>
  <c r="L161" i="2" s="1"/>
  <c r="F162" i="2"/>
  <c r="G162" i="2"/>
  <c r="K162" i="2"/>
  <c r="L162" i="2"/>
  <c r="F163" i="2"/>
  <c r="G163" i="2"/>
  <c r="K163" i="2"/>
  <c r="L163" i="2"/>
  <c r="F164" i="2"/>
  <c r="G164" i="2"/>
  <c r="K164" i="2"/>
  <c r="L164" i="2" s="1"/>
  <c r="H166" i="2"/>
  <c r="I166" i="2"/>
  <c r="J166" i="2"/>
  <c r="N166" i="2"/>
  <c r="O166" i="2"/>
  <c r="C168" i="2"/>
  <c r="C169" i="2" s="1"/>
  <c r="E168" i="2"/>
  <c r="F169" i="2"/>
  <c r="G169" i="2"/>
  <c r="K169" i="2"/>
  <c r="L169" i="2" s="1"/>
  <c r="F170" i="2"/>
  <c r="G170" i="2"/>
  <c r="K170" i="2"/>
  <c r="L170" i="2"/>
  <c r="F171" i="2"/>
  <c r="G171" i="2"/>
  <c r="K171" i="2"/>
  <c r="L171" i="2"/>
  <c r="F172" i="2"/>
  <c r="G172" i="2"/>
  <c r="K172" i="2"/>
  <c r="L172" i="2" s="1"/>
  <c r="F173" i="2"/>
  <c r="G173" i="2"/>
  <c r="K173" i="2"/>
  <c r="L173" i="2"/>
  <c r="H175" i="2"/>
  <c r="I175" i="2"/>
  <c r="J175" i="2"/>
  <c r="L175" i="2" s="1"/>
  <c r="K175" i="2"/>
  <c r="N175" i="2"/>
  <c r="O175" i="2"/>
  <c r="C177" i="2"/>
  <c r="E177" i="2"/>
  <c r="C178" i="2"/>
  <c r="C182" i="2" s="1"/>
  <c r="C183" i="2" s="1"/>
  <c r="C184" i="2" s="1"/>
  <c r="F178" i="2"/>
  <c r="G178" i="2"/>
  <c r="K178" i="2"/>
  <c r="L178" i="2"/>
  <c r="F179" i="2"/>
  <c r="G179" i="2"/>
  <c r="K179" i="2"/>
  <c r="L179" i="2"/>
  <c r="F180" i="2"/>
  <c r="G180" i="2"/>
  <c r="K180" i="2"/>
  <c r="L180" i="2" s="1"/>
  <c r="F181" i="2"/>
  <c r="G181" i="2"/>
  <c r="K181" i="2"/>
  <c r="L181" i="2"/>
  <c r="H183" i="2"/>
  <c r="I183" i="2"/>
  <c r="J183" i="2"/>
  <c r="L183" i="2" s="1"/>
  <c r="K183" i="2"/>
  <c r="N183" i="2"/>
  <c r="O183" i="2"/>
  <c r="C185" i="2"/>
  <c r="E185" i="2"/>
  <c r="C186" i="2"/>
  <c r="C187" i="2" s="1"/>
  <c r="C188" i="2" s="1"/>
  <c r="C189" i="2" s="1"/>
  <c r="C190" i="2" s="1"/>
  <c r="F186" i="2"/>
  <c r="G186" i="2"/>
  <c r="K186" i="2"/>
  <c r="L186" i="2"/>
  <c r="F187" i="2"/>
  <c r="G187" i="2"/>
  <c r="K187" i="2"/>
  <c r="L187" i="2"/>
  <c r="F188" i="2"/>
  <c r="G188" i="2"/>
  <c r="K188" i="2"/>
  <c r="L188" i="2"/>
  <c r="F189" i="2"/>
  <c r="G189" i="2"/>
  <c r="K189" i="2"/>
  <c r="L189" i="2"/>
  <c r="F190" i="2"/>
  <c r="G190" i="2"/>
  <c r="K190" i="2"/>
  <c r="L190" i="2"/>
  <c r="C191" i="2"/>
  <c r="C192" i="2" s="1"/>
  <c r="C193" i="2" s="1"/>
  <c r="H192" i="2"/>
  <c r="I192" i="2"/>
  <c r="J192" i="2"/>
  <c r="L192" i="2" s="1"/>
  <c r="K192" i="2"/>
  <c r="N192" i="2"/>
  <c r="O192" i="2"/>
  <c r="E194" i="2"/>
  <c r="C194" i="2" s="1"/>
  <c r="C195" i="2" s="1"/>
  <c r="F195" i="2"/>
  <c r="G195" i="2"/>
  <c r="K195" i="2"/>
  <c r="K201" i="2" s="1"/>
  <c r="L201" i="2" s="1"/>
  <c r="L195" i="2"/>
  <c r="F196" i="2"/>
  <c r="G196" i="2"/>
  <c r="K196" i="2"/>
  <c r="L196" i="2"/>
  <c r="F197" i="2"/>
  <c r="G197" i="2"/>
  <c r="K197" i="2"/>
  <c r="L197" i="2"/>
  <c r="F198" i="2"/>
  <c r="G198" i="2"/>
  <c r="K198" i="2"/>
  <c r="L198" i="2"/>
  <c r="F199" i="2"/>
  <c r="G199" i="2"/>
  <c r="K199" i="2"/>
  <c r="L199" i="2" s="1"/>
  <c r="H201" i="2"/>
  <c r="I201" i="2"/>
  <c r="J201" i="2"/>
  <c r="N201" i="2"/>
  <c r="O201" i="2"/>
  <c r="E203" i="2"/>
  <c r="H210" i="2" s="1"/>
  <c r="F204" i="2"/>
  <c r="G204" i="2"/>
  <c r="K204" i="2"/>
  <c r="L204" i="2"/>
  <c r="F205" i="2"/>
  <c r="G205" i="2"/>
  <c r="K205" i="2"/>
  <c r="L205" i="2"/>
  <c r="F206" i="2"/>
  <c r="G206" i="2"/>
  <c r="K206" i="2"/>
  <c r="L206" i="2"/>
  <c r="F207" i="2"/>
  <c r="G207" i="2"/>
  <c r="K207" i="2"/>
  <c r="L207" i="2" s="1"/>
  <c r="F208" i="2"/>
  <c r="G208" i="2"/>
  <c r="K208" i="2"/>
  <c r="L208" i="2" s="1"/>
  <c r="I210" i="2"/>
  <c r="J210" i="2"/>
  <c r="N210" i="2"/>
  <c r="O210" i="2"/>
  <c r="E212" i="2"/>
  <c r="C212" i="2" s="1"/>
  <c r="C213" i="2" s="1"/>
  <c r="F213" i="2"/>
  <c r="G213" i="2"/>
  <c r="K213" i="2"/>
  <c r="L213" i="2"/>
  <c r="F214" i="2"/>
  <c r="G214" i="2"/>
  <c r="K214" i="2"/>
  <c r="L214" i="2"/>
  <c r="F215" i="2"/>
  <c r="G215" i="2"/>
  <c r="K215" i="2"/>
  <c r="L215" i="2"/>
  <c r="F216" i="2"/>
  <c r="G216" i="2"/>
  <c r="K216" i="2"/>
  <c r="K234" i="2" s="1"/>
  <c r="L234" i="2" s="1"/>
  <c r="L216" i="2"/>
  <c r="F217" i="2"/>
  <c r="G217" i="2"/>
  <c r="K217" i="2"/>
  <c r="L217" i="2" s="1"/>
  <c r="F218" i="2"/>
  <c r="G218" i="2"/>
  <c r="K218" i="2"/>
  <c r="L218" i="2" s="1"/>
  <c r="F219" i="2"/>
  <c r="G219" i="2"/>
  <c r="K219" i="2"/>
  <c r="L219" i="2"/>
  <c r="F220" i="2"/>
  <c r="G220" i="2"/>
  <c r="K220" i="2"/>
  <c r="L220" i="2"/>
  <c r="F221" i="2"/>
  <c r="G221" i="2"/>
  <c r="K221" i="2"/>
  <c r="L221" i="2"/>
  <c r="F222" i="2"/>
  <c r="G222" i="2"/>
  <c r="K222" i="2"/>
  <c r="L222" i="2"/>
  <c r="F223" i="2"/>
  <c r="G223" i="2"/>
  <c r="K223" i="2"/>
  <c r="L223" i="2"/>
  <c r="F224" i="2"/>
  <c r="G224" i="2"/>
  <c r="K224" i="2"/>
  <c r="L224" i="2" s="1"/>
  <c r="F225" i="2"/>
  <c r="G225" i="2"/>
  <c r="K225" i="2"/>
  <c r="L225" i="2" s="1"/>
  <c r="F226" i="2"/>
  <c r="G226" i="2"/>
  <c r="K226" i="2"/>
  <c r="L226" i="2"/>
  <c r="F227" i="2"/>
  <c r="G227" i="2"/>
  <c r="K227" i="2"/>
  <c r="L227" i="2"/>
  <c r="F228" i="2"/>
  <c r="G228" i="2"/>
  <c r="K228" i="2"/>
  <c r="L228" i="2"/>
  <c r="F229" i="2"/>
  <c r="G229" i="2"/>
  <c r="K229" i="2"/>
  <c r="L229" i="2"/>
  <c r="F230" i="2"/>
  <c r="G230" i="2"/>
  <c r="K230" i="2"/>
  <c r="L230" i="2"/>
  <c r="F231" i="2"/>
  <c r="G231" i="2"/>
  <c r="K231" i="2"/>
  <c r="L231" i="2"/>
  <c r="F232" i="2"/>
  <c r="G232" i="2"/>
  <c r="K232" i="2"/>
  <c r="L232" i="2" s="1"/>
  <c r="H234" i="2"/>
  <c r="I234" i="2"/>
  <c r="J234" i="2"/>
  <c r="N234" i="2"/>
  <c r="O234" i="2"/>
  <c r="C236" i="2"/>
  <c r="C237" i="2" s="1"/>
  <c r="E236" i="2"/>
  <c r="F237" i="2"/>
  <c r="G237" i="2"/>
  <c r="K237" i="2"/>
  <c r="L237" i="2"/>
  <c r="F238" i="2"/>
  <c r="G238" i="2"/>
  <c r="K238" i="2"/>
  <c r="L238" i="2"/>
  <c r="F239" i="2"/>
  <c r="G239" i="2"/>
  <c r="K239" i="2"/>
  <c r="L239" i="2"/>
  <c r="F240" i="2"/>
  <c r="G240" i="2"/>
  <c r="K240" i="2"/>
  <c r="L240" i="2" s="1"/>
  <c r="F241" i="2"/>
  <c r="G241" i="2"/>
  <c r="K241" i="2"/>
  <c r="L241" i="2" s="1"/>
  <c r="H243" i="2"/>
  <c r="I243" i="2"/>
  <c r="J243" i="2"/>
  <c r="N243" i="2"/>
  <c r="O243" i="2"/>
  <c r="E245" i="2"/>
  <c r="C245" i="2" s="1"/>
  <c r="C246" i="2" s="1"/>
  <c r="F246" i="2"/>
  <c r="G246" i="2"/>
  <c r="K246" i="2"/>
  <c r="L246" i="2"/>
  <c r="F247" i="2"/>
  <c r="G247" i="2"/>
  <c r="K247" i="2"/>
  <c r="L247" i="2"/>
  <c r="F248" i="2"/>
  <c r="G248" i="2"/>
  <c r="K248" i="2"/>
  <c r="L248" i="2" s="1"/>
  <c r="F249" i="2"/>
  <c r="G249" i="2"/>
  <c r="K249" i="2"/>
  <c r="L249" i="2" s="1"/>
  <c r="F250" i="2"/>
  <c r="G250" i="2"/>
  <c r="K250" i="2"/>
  <c r="L250" i="2" s="1"/>
  <c r="H252" i="2"/>
  <c r="I252" i="2"/>
  <c r="J252" i="2"/>
  <c r="N252" i="2"/>
  <c r="O252" i="2"/>
  <c r="E254" i="2"/>
  <c r="H259" i="2" s="1"/>
  <c r="F255" i="2"/>
  <c r="G255" i="2"/>
  <c r="K255" i="2"/>
  <c r="L255" i="2"/>
  <c r="F256" i="2"/>
  <c r="G256" i="2"/>
  <c r="K256" i="2"/>
  <c r="L256" i="2" s="1"/>
  <c r="F257" i="2"/>
  <c r="G257" i="2"/>
  <c r="K257" i="2"/>
  <c r="L257" i="2"/>
  <c r="I259" i="2"/>
  <c r="J259" i="2"/>
  <c r="N259" i="2"/>
  <c r="O259" i="2"/>
  <c r="E261" i="2"/>
  <c r="C261" i="2" s="1"/>
  <c r="C262" i="2" s="1"/>
  <c r="F262" i="2"/>
  <c r="G262" i="2"/>
  <c r="K262" i="2"/>
  <c r="L262" i="2"/>
  <c r="F263" i="2"/>
  <c r="G263" i="2"/>
  <c r="K263" i="2"/>
  <c r="L263" i="2"/>
  <c r="F264" i="2"/>
  <c r="G264" i="2"/>
  <c r="K264" i="2"/>
  <c r="L264" i="2" s="1"/>
  <c r="H266" i="2"/>
  <c r="I266" i="2"/>
  <c r="J266" i="2"/>
  <c r="N266" i="2"/>
  <c r="O266" i="2"/>
  <c r="C268" i="2"/>
  <c r="C269" i="2" s="1"/>
  <c r="C270" i="2" s="1"/>
  <c r="C271" i="2" s="1"/>
  <c r="C272" i="2" s="1"/>
  <c r="C273" i="2" s="1"/>
  <c r="E268" i="2"/>
  <c r="F269" i="2"/>
  <c r="G269" i="2"/>
  <c r="K269" i="2"/>
  <c r="L269" i="2"/>
  <c r="F270" i="2"/>
  <c r="G270" i="2"/>
  <c r="K270" i="2"/>
  <c r="L270" i="2"/>
  <c r="F271" i="2"/>
  <c r="G271" i="2"/>
  <c r="K271" i="2"/>
  <c r="L271" i="2"/>
  <c r="F272" i="2"/>
  <c r="G272" i="2"/>
  <c r="K272" i="2"/>
  <c r="L272" i="2" s="1"/>
  <c r="F273" i="2"/>
  <c r="G273" i="2"/>
  <c r="K273" i="2"/>
  <c r="L273" i="2"/>
  <c r="U32" i="2"/>
  <c r="T32" i="2"/>
  <c r="S32" i="2"/>
  <c r="P32" i="2"/>
  <c r="Q32" i="2" s="1"/>
  <c r="T31" i="2"/>
  <c r="S31" i="2"/>
  <c r="P31" i="2"/>
  <c r="Q31" i="2" s="1"/>
  <c r="U31" i="2"/>
  <c r="T30" i="2"/>
  <c r="S30" i="2"/>
  <c r="P30" i="2"/>
  <c r="U30" i="2" s="1"/>
  <c r="T29" i="2"/>
  <c r="S29" i="2"/>
  <c r="P29" i="2"/>
  <c r="Q29" i="2" s="1"/>
  <c r="C265" i="2" l="1"/>
  <c r="C266" i="2" s="1"/>
  <c r="C267" i="2" s="1"/>
  <c r="C263" i="2"/>
  <c r="C264" i="2" s="1"/>
  <c r="C238" i="2"/>
  <c r="C239" i="2" s="1"/>
  <c r="C240" i="2" s="1"/>
  <c r="C241" i="2" s="1"/>
  <c r="C242" i="2"/>
  <c r="C243" i="2" s="1"/>
  <c r="C244" i="2" s="1"/>
  <c r="C147" i="2"/>
  <c r="C148" i="2" s="1"/>
  <c r="C149" i="2" s="1"/>
  <c r="C143" i="2"/>
  <c r="C144" i="2" s="1"/>
  <c r="C145" i="2" s="1"/>
  <c r="C146" i="2" s="1"/>
  <c r="C84" i="2"/>
  <c r="C85" i="2" s="1"/>
  <c r="C86" i="2" s="1"/>
  <c r="C87" i="2" s="1"/>
  <c r="C88" i="2" s="1"/>
  <c r="C89" i="2" s="1"/>
  <c r="C90" i="2" s="1"/>
  <c r="C91" i="2" s="1"/>
  <c r="C92" i="2" s="1"/>
  <c r="C93" i="2" s="1"/>
  <c r="C94" i="2" s="1"/>
  <c r="C95" i="2" s="1"/>
  <c r="C96" i="2" s="1"/>
  <c r="C97" i="2" s="1"/>
  <c r="C98" i="2" s="1"/>
  <c r="C99" i="2" s="1"/>
  <c r="C100" i="2" s="1"/>
  <c r="C101" i="2" s="1"/>
  <c r="C102" i="2"/>
  <c r="C103" i="2" s="1"/>
  <c r="C104" i="2" s="1"/>
  <c r="L57" i="2"/>
  <c r="C38" i="2"/>
  <c r="C39" i="2" s="1"/>
  <c r="C40" i="2" s="1"/>
  <c r="C41" i="2" s="1"/>
  <c r="C42" i="2"/>
  <c r="C43" i="2" s="1"/>
  <c r="C44" i="2" s="1"/>
  <c r="C247" i="2"/>
  <c r="C248" i="2" s="1"/>
  <c r="C249" i="2" s="1"/>
  <c r="C250" i="2" s="1"/>
  <c r="C251" i="2"/>
  <c r="C252" i="2" s="1"/>
  <c r="C253" i="2" s="1"/>
  <c r="C161" i="2"/>
  <c r="C162" i="2" s="1"/>
  <c r="C163" i="2" s="1"/>
  <c r="C164" i="2" s="1"/>
  <c r="C165" i="2"/>
  <c r="C166" i="2" s="1"/>
  <c r="C167" i="2" s="1"/>
  <c r="C233" i="2"/>
  <c r="C234" i="2" s="1"/>
  <c r="C235" i="2" s="1"/>
  <c r="C214" i="2"/>
  <c r="C215" i="2" s="1"/>
  <c r="C216" i="2" s="1"/>
  <c r="C217" i="2" s="1"/>
  <c r="C218" i="2" s="1"/>
  <c r="C219" i="2" s="1"/>
  <c r="C220" i="2" s="1"/>
  <c r="C221" i="2" s="1"/>
  <c r="C222" i="2" s="1"/>
  <c r="C223" i="2" s="1"/>
  <c r="C224" i="2" s="1"/>
  <c r="C225" i="2" s="1"/>
  <c r="C226" i="2" s="1"/>
  <c r="C227" i="2" s="1"/>
  <c r="C228" i="2" s="1"/>
  <c r="C229" i="2" s="1"/>
  <c r="C230" i="2" s="1"/>
  <c r="C231" i="2" s="1"/>
  <c r="C232" i="2" s="1"/>
  <c r="C196" i="2"/>
  <c r="C197" i="2" s="1"/>
  <c r="C198" i="2" s="1"/>
  <c r="C199" i="2" s="1"/>
  <c r="C200" i="2"/>
  <c r="C201" i="2" s="1"/>
  <c r="C202" i="2" s="1"/>
  <c r="C174" i="2"/>
  <c r="C175" i="2" s="1"/>
  <c r="C176" i="2" s="1"/>
  <c r="C170" i="2"/>
  <c r="C171" i="2" s="1"/>
  <c r="C172" i="2" s="1"/>
  <c r="C173" i="2" s="1"/>
  <c r="C116" i="2"/>
  <c r="C117" i="2" s="1"/>
  <c r="C118" i="2" s="1"/>
  <c r="C119" i="2" s="1"/>
  <c r="C120" i="2"/>
  <c r="C121" i="2" s="1"/>
  <c r="C122" i="2" s="1"/>
  <c r="C52" i="2"/>
  <c r="C53" i="2" s="1"/>
  <c r="C54" i="2" s="1"/>
  <c r="C55" i="2" s="1"/>
  <c r="C56" i="2"/>
  <c r="C57" i="2" s="1"/>
  <c r="C58" i="2" s="1"/>
  <c r="C14" i="2"/>
  <c r="C15" i="2" s="1"/>
  <c r="C16" i="2" s="1"/>
  <c r="C17" i="2" s="1"/>
  <c r="C18" i="2" s="1"/>
  <c r="C19" i="2" s="1"/>
  <c r="C20" i="2" s="1"/>
  <c r="C21" i="2" s="1"/>
  <c r="C22" i="2" s="1"/>
  <c r="C23" i="2" s="1"/>
  <c r="C24" i="2"/>
  <c r="C25" i="2" s="1"/>
  <c r="C26" i="2" s="1"/>
  <c r="K266" i="2"/>
  <c r="L266" i="2" s="1"/>
  <c r="K210" i="2"/>
  <c r="L210" i="2" s="1"/>
  <c r="C203" i="2"/>
  <c r="C204" i="2" s="1"/>
  <c r="K130" i="2"/>
  <c r="L130" i="2" s="1"/>
  <c r="C123" i="2"/>
  <c r="C124" i="2" s="1"/>
  <c r="K66" i="2"/>
  <c r="L66" i="2" s="1"/>
  <c r="C59" i="2"/>
  <c r="C60" i="2" s="1"/>
  <c r="K34" i="2"/>
  <c r="L34" i="2" s="1"/>
  <c r="C27" i="2"/>
  <c r="C28" i="2" s="1"/>
  <c r="C254" i="2"/>
  <c r="C255" i="2" s="1"/>
  <c r="K157" i="2"/>
  <c r="L157" i="2" s="1"/>
  <c r="C150" i="2"/>
  <c r="C151" i="2" s="1"/>
  <c r="H148" i="2"/>
  <c r="K259" i="2"/>
  <c r="L259" i="2" s="1"/>
  <c r="K243" i="2"/>
  <c r="L243" i="2" s="1"/>
  <c r="C179" i="2"/>
  <c r="C180" i="2" s="1"/>
  <c r="C181" i="2" s="1"/>
  <c r="L143" i="2"/>
  <c r="K139" i="2"/>
  <c r="L139" i="2" s="1"/>
  <c r="C132" i="2"/>
  <c r="C133" i="2" s="1"/>
  <c r="K43" i="2"/>
  <c r="L43" i="2" s="1"/>
  <c r="K166" i="2"/>
  <c r="L166" i="2" s="1"/>
  <c r="K25" i="2"/>
  <c r="L25" i="2" s="1"/>
  <c r="K252" i="2"/>
  <c r="L252" i="2" s="1"/>
  <c r="W32" i="2"/>
  <c r="X32" i="2" s="1"/>
  <c r="Q30" i="2"/>
  <c r="W30" i="2" s="1"/>
  <c r="X30" i="2" s="1"/>
  <c r="W31" i="2"/>
  <c r="X31" i="2" s="1"/>
  <c r="U29" i="2"/>
  <c r="T41" i="2"/>
  <c r="S41" i="2"/>
  <c r="P41" i="2"/>
  <c r="U41" i="2" s="1"/>
  <c r="U40" i="2"/>
  <c r="T40" i="2"/>
  <c r="S40" i="2"/>
  <c r="P40" i="2"/>
  <c r="Q40" i="2" s="1"/>
  <c r="T39" i="2"/>
  <c r="S39" i="2"/>
  <c r="Q39" i="2"/>
  <c r="W39" i="2" s="1"/>
  <c r="X39" i="2" s="1"/>
  <c r="P39" i="2"/>
  <c r="U39" i="2" s="1"/>
  <c r="T38" i="2"/>
  <c r="S38" i="2"/>
  <c r="P38" i="2"/>
  <c r="Q38" i="2" s="1"/>
  <c r="W38" i="2"/>
  <c r="X38" i="2" s="1"/>
  <c r="C256" i="2" l="1"/>
  <c r="C257" i="2" s="1"/>
  <c r="C258" i="2"/>
  <c r="C259" i="2" s="1"/>
  <c r="C260" i="2" s="1"/>
  <c r="C33" i="2"/>
  <c r="C34" i="2" s="1"/>
  <c r="C35" i="2" s="1"/>
  <c r="C29" i="2"/>
  <c r="C30" i="2" s="1"/>
  <c r="C31" i="2" s="1"/>
  <c r="C32" i="2" s="1"/>
  <c r="C65" i="2"/>
  <c r="C66" i="2" s="1"/>
  <c r="C67" i="2" s="1"/>
  <c r="C61" i="2"/>
  <c r="C62" i="2" s="1"/>
  <c r="C63" i="2" s="1"/>
  <c r="C64" i="2" s="1"/>
  <c r="C129" i="2"/>
  <c r="C130" i="2" s="1"/>
  <c r="C131" i="2" s="1"/>
  <c r="C125" i="2"/>
  <c r="C126" i="2" s="1"/>
  <c r="C127" i="2" s="1"/>
  <c r="C128" i="2" s="1"/>
  <c r="C156" i="2"/>
  <c r="C157" i="2" s="1"/>
  <c r="C158" i="2" s="1"/>
  <c r="C152" i="2"/>
  <c r="C153" i="2" s="1"/>
  <c r="C154" i="2" s="1"/>
  <c r="C155" i="2" s="1"/>
  <c r="C134" i="2"/>
  <c r="C135" i="2" s="1"/>
  <c r="C136" i="2" s="1"/>
  <c r="C137" i="2" s="1"/>
  <c r="C138" i="2"/>
  <c r="C139" i="2" s="1"/>
  <c r="C140" i="2" s="1"/>
  <c r="C209" i="2"/>
  <c r="C210" i="2" s="1"/>
  <c r="C211" i="2" s="1"/>
  <c r="C205" i="2"/>
  <c r="C206" i="2" s="1"/>
  <c r="C207" i="2" s="1"/>
  <c r="C208" i="2" s="1"/>
  <c r="W40" i="2"/>
  <c r="X40" i="2" s="1"/>
  <c r="Q41" i="2"/>
  <c r="W41" i="2" s="1"/>
  <c r="X41" i="2" s="1"/>
  <c r="U38" i="2"/>
  <c r="T55" i="2"/>
  <c r="S55" i="2"/>
  <c r="P55" i="2"/>
  <c r="Q55" i="2" s="1"/>
  <c r="W55" i="2" s="1"/>
  <c r="X55" i="2" s="1"/>
  <c r="T54" i="2"/>
  <c r="S54" i="2"/>
  <c r="P54" i="2"/>
  <c r="Q54" i="2" s="1"/>
  <c r="W54" i="2"/>
  <c r="X54" i="2" s="1"/>
  <c r="U54" i="2"/>
  <c r="T53" i="2"/>
  <c r="S53" i="2"/>
  <c r="Q53" i="2"/>
  <c r="P53" i="2"/>
  <c r="U53" i="2" s="1"/>
  <c r="W53" i="2"/>
  <c r="X53" i="2" s="1"/>
  <c r="T52" i="2"/>
  <c r="S52" i="2"/>
  <c r="P52" i="2"/>
  <c r="Q52" i="2" s="1"/>
  <c r="W52" i="2" s="1"/>
  <c r="X52" i="2" s="1"/>
  <c r="U52" i="2" l="1"/>
  <c r="U55" i="2"/>
  <c r="U64" i="2"/>
  <c r="T64" i="2"/>
  <c r="S64" i="2"/>
  <c r="P64" i="2"/>
  <c r="Q64" i="2" s="1"/>
  <c r="W64" i="2"/>
  <c r="X64" i="2" s="1"/>
  <c r="T63" i="2"/>
  <c r="S63" i="2"/>
  <c r="P63" i="2"/>
  <c r="Q63" i="2" s="1"/>
  <c r="U63" i="2"/>
  <c r="T62" i="2"/>
  <c r="S62" i="2"/>
  <c r="P62" i="2"/>
  <c r="U62" i="2" s="1"/>
  <c r="U61" i="2"/>
  <c r="T61" i="2"/>
  <c r="S61" i="2"/>
  <c r="P61" i="2"/>
  <c r="Q61" i="2" s="1"/>
  <c r="W61" i="2" s="1"/>
  <c r="X61" i="2" s="1"/>
  <c r="Q62" i="2" l="1"/>
  <c r="W62" i="2" s="1"/>
  <c r="X62" i="2" s="1"/>
  <c r="W63" i="2"/>
  <c r="X63" i="2" s="1"/>
  <c r="U78" i="2"/>
  <c r="T78" i="2"/>
  <c r="S78" i="2"/>
  <c r="P78" i="2"/>
  <c r="Q78" i="2" s="1"/>
  <c r="W78" i="2" s="1"/>
  <c r="X78" i="2" s="1"/>
  <c r="T77" i="2"/>
  <c r="S77" i="2"/>
  <c r="P77" i="2"/>
  <c r="U77" i="2" s="1"/>
  <c r="T76" i="2"/>
  <c r="S76" i="2"/>
  <c r="P76" i="2"/>
  <c r="Q76" i="2" s="1"/>
  <c r="T75" i="2"/>
  <c r="S75" i="2"/>
  <c r="P75" i="2"/>
  <c r="Q75" i="2" s="1"/>
  <c r="W75" i="2"/>
  <c r="X75" i="2" s="1"/>
  <c r="Q77" i="2" l="1"/>
  <c r="W77" i="2" s="1"/>
  <c r="X77" i="2" s="1"/>
  <c r="U76" i="2"/>
  <c r="U75" i="2"/>
  <c r="W76" i="2"/>
  <c r="X76" i="2" s="1"/>
  <c r="T101" i="2"/>
  <c r="S101" i="2"/>
  <c r="P101" i="2"/>
  <c r="Q101" i="2" s="1"/>
  <c r="W101" i="2" s="1"/>
  <c r="X101" i="2" s="1"/>
  <c r="T100" i="2"/>
  <c r="S100" i="2"/>
  <c r="P100" i="2"/>
  <c r="Q100" i="2" s="1"/>
  <c r="W100" i="2"/>
  <c r="X100" i="2" s="1"/>
  <c r="U100" i="2"/>
  <c r="U99" i="2"/>
  <c r="T99" i="2"/>
  <c r="S99" i="2"/>
  <c r="Q99" i="2"/>
  <c r="P99" i="2"/>
  <c r="W99" i="2"/>
  <c r="X99" i="2" s="1"/>
  <c r="T98" i="2"/>
  <c r="S98" i="2"/>
  <c r="P98" i="2"/>
  <c r="Q98" i="2" s="1"/>
  <c r="W98" i="2" s="1"/>
  <c r="X98" i="2" s="1"/>
  <c r="U98" i="2"/>
  <c r="T97" i="2"/>
  <c r="S97" i="2"/>
  <c r="Q97" i="2"/>
  <c r="W97" i="2" s="1"/>
  <c r="X97" i="2" s="1"/>
  <c r="P97" i="2"/>
  <c r="U97" i="2"/>
  <c r="T96" i="2"/>
  <c r="S96" i="2"/>
  <c r="P96" i="2"/>
  <c r="Q96" i="2" s="1"/>
  <c r="W96" i="2" s="1"/>
  <c r="X96" i="2" s="1"/>
  <c r="U96" i="2"/>
  <c r="U95" i="2"/>
  <c r="T95" i="2"/>
  <c r="S95" i="2"/>
  <c r="Q95" i="2"/>
  <c r="P95" i="2"/>
  <c r="W95" i="2"/>
  <c r="X95" i="2" s="1"/>
  <c r="T94" i="2"/>
  <c r="S94" i="2"/>
  <c r="P94" i="2"/>
  <c r="Q94" i="2" s="1"/>
  <c r="W94" i="2" s="1"/>
  <c r="X94" i="2" s="1"/>
  <c r="T93" i="2"/>
  <c r="S93" i="2"/>
  <c r="P93" i="2"/>
  <c r="Q93" i="2" s="1"/>
  <c r="W93" i="2" s="1"/>
  <c r="X93" i="2" s="1"/>
  <c r="U93" i="2"/>
  <c r="T92" i="2"/>
  <c r="S92" i="2"/>
  <c r="P92" i="2"/>
  <c r="Q92" i="2" s="1"/>
  <c r="W92" i="2" s="1"/>
  <c r="X92" i="2" s="1"/>
  <c r="T91" i="2"/>
  <c r="S91" i="2"/>
  <c r="P91" i="2"/>
  <c r="U91" i="2" s="1"/>
  <c r="T90" i="2"/>
  <c r="S90" i="2"/>
  <c r="Q90" i="2"/>
  <c r="P90" i="2"/>
  <c r="W90" i="2"/>
  <c r="X90" i="2" s="1"/>
  <c r="U90" i="2"/>
  <c r="T89" i="2"/>
  <c r="S89" i="2"/>
  <c r="P89" i="2"/>
  <c r="U89" i="2" s="1"/>
  <c r="W88" i="2"/>
  <c r="X88" i="2" s="1"/>
  <c r="U88" i="2"/>
  <c r="T88" i="2"/>
  <c r="S88" i="2"/>
  <c r="Q88" i="2"/>
  <c r="P88" i="2"/>
  <c r="T87" i="2"/>
  <c r="S87" i="2"/>
  <c r="P87" i="2"/>
  <c r="U87" i="2" s="1"/>
  <c r="T86" i="2"/>
  <c r="S86" i="2"/>
  <c r="Q86" i="2"/>
  <c r="P86" i="2"/>
  <c r="W86" i="2"/>
  <c r="X86" i="2" s="1"/>
  <c r="U86" i="2"/>
  <c r="T85" i="2"/>
  <c r="S85" i="2"/>
  <c r="P85" i="2"/>
  <c r="Q85" i="2" s="1"/>
  <c r="T84" i="2"/>
  <c r="S84" i="2"/>
  <c r="P84" i="2"/>
  <c r="Q84" i="2" s="1"/>
  <c r="W84" i="2" s="1"/>
  <c r="X84" i="2" s="1"/>
  <c r="U84" i="2" l="1"/>
  <c r="Q89" i="2"/>
  <c r="W89" i="2" s="1"/>
  <c r="X89" i="2" s="1"/>
  <c r="U92" i="2"/>
  <c r="Q87" i="2"/>
  <c r="W87" i="2" s="1"/>
  <c r="X87" i="2" s="1"/>
  <c r="Q91" i="2"/>
  <c r="W91" i="2" s="1"/>
  <c r="X91" i="2" s="1"/>
  <c r="W85" i="2"/>
  <c r="X85" i="2" s="1"/>
  <c r="U85" i="2"/>
  <c r="U101" i="2"/>
  <c r="U94" i="2"/>
  <c r="T110" i="2"/>
  <c r="S110" i="2"/>
  <c r="P110" i="2"/>
  <c r="U110" i="2" s="1"/>
  <c r="T109" i="2"/>
  <c r="S109" i="2"/>
  <c r="Q109" i="2"/>
  <c r="W109" i="2" s="1"/>
  <c r="X109" i="2" s="1"/>
  <c r="P109" i="2"/>
  <c r="U108" i="2"/>
  <c r="T108" i="2"/>
  <c r="S108" i="2"/>
  <c r="P108" i="2"/>
  <c r="Q108" i="2" s="1"/>
  <c r="W108" i="2" s="1"/>
  <c r="X108" i="2" s="1"/>
  <c r="T107" i="2"/>
  <c r="S107" i="2"/>
  <c r="P107" i="2"/>
  <c r="Q107" i="2" s="1"/>
  <c r="U107" i="2"/>
  <c r="W107" i="2" l="1"/>
  <c r="X107" i="2" s="1"/>
  <c r="Q110" i="2"/>
  <c r="W110" i="2" s="1"/>
  <c r="X110" i="2" s="1"/>
  <c r="U109" i="2"/>
  <c r="T119" i="2"/>
  <c r="S119" i="2"/>
  <c r="P119" i="2"/>
  <c r="Q119" i="2" s="1"/>
  <c r="T118" i="2"/>
  <c r="S118" i="2"/>
  <c r="P118" i="2"/>
  <c r="U118" i="2" s="1"/>
  <c r="T117" i="2"/>
  <c r="S117" i="2"/>
  <c r="P117" i="2"/>
  <c r="Q117" i="2" s="1"/>
  <c r="W117" i="2"/>
  <c r="X117" i="2" s="1"/>
  <c r="T116" i="2"/>
  <c r="S116" i="2"/>
  <c r="P116" i="2"/>
  <c r="Q116" i="2" s="1"/>
  <c r="U116" i="2" l="1"/>
  <c r="U119" i="2"/>
  <c r="W118" i="2"/>
  <c r="X118" i="2" s="1"/>
  <c r="W116" i="2"/>
  <c r="X116" i="2" s="1"/>
  <c r="Q118" i="2"/>
  <c r="W119" i="2"/>
  <c r="X119" i="2" s="1"/>
  <c r="U117" i="2"/>
  <c r="T128" i="2"/>
  <c r="S128" i="2"/>
  <c r="P128" i="2"/>
  <c r="U128" i="2" s="1"/>
  <c r="T127" i="2"/>
  <c r="S127" i="2"/>
  <c r="P127" i="2"/>
  <c r="Q127" i="2" s="1"/>
  <c r="W127" i="2" s="1"/>
  <c r="X127" i="2" s="1"/>
  <c r="T126" i="2"/>
  <c r="S126" i="2"/>
  <c r="P126" i="2"/>
  <c r="Q126" i="2" s="1"/>
  <c r="W126" i="2" s="1"/>
  <c r="X126" i="2" s="1"/>
  <c r="T125" i="2"/>
  <c r="S125" i="2"/>
  <c r="P125" i="2"/>
  <c r="Q125" i="2" s="1"/>
  <c r="U125" i="2" l="1"/>
  <c r="U126" i="2"/>
  <c r="Q128" i="2"/>
  <c r="W128" i="2" s="1"/>
  <c r="X128" i="2" s="1"/>
  <c r="U127" i="2"/>
  <c r="W125" i="2"/>
  <c r="X125" i="2" s="1"/>
  <c r="T137" i="2"/>
  <c r="S137" i="2"/>
  <c r="P137" i="2"/>
  <c r="U137" i="2" s="1"/>
  <c r="U136" i="2"/>
  <c r="T136" i="2"/>
  <c r="S136" i="2"/>
  <c r="P136" i="2"/>
  <c r="Q136" i="2" s="1"/>
  <c r="W136" i="2" s="1"/>
  <c r="X136" i="2" s="1"/>
  <c r="T135" i="2"/>
  <c r="S135" i="2"/>
  <c r="P135" i="2"/>
  <c r="Q135" i="2" s="1"/>
  <c r="W135" i="2"/>
  <c r="X135" i="2" s="1"/>
  <c r="T134" i="2"/>
  <c r="S134" i="2"/>
  <c r="P134" i="2"/>
  <c r="Q134" i="2" s="1"/>
  <c r="U134" i="2"/>
  <c r="U135" i="2" l="1"/>
  <c r="W134" i="2"/>
  <c r="X134" i="2" s="1"/>
  <c r="Q137" i="2"/>
  <c r="W137" i="2" s="1"/>
  <c r="X137" i="2" s="1"/>
  <c r="T146" i="2"/>
  <c r="S146" i="2"/>
  <c r="P146" i="2"/>
  <c r="U146" i="2" s="1"/>
  <c r="T145" i="2"/>
  <c r="S145" i="2"/>
  <c r="P145" i="2"/>
  <c r="U145" i="2" s="1"/>
  <c r="T144" i="2"/>
  <c r="S144" i="2"/>
  <c r="P144" i="2"/>
  <c r="Q144" i="2" s="1"/>
  <c r="W144" i="2" s="1"/>
  <c r="X144" i="2" s="1"/>
  <c r="T143" i="2"/>
  <c r="S143" i="2"/>
  <c r="P143" i="2"/>
  <c r="Q143" i="2" s="1"/>
  <c r="W143" i="2"/>
  <c r="X143" i="2" s="1"/>
  <c r="Q146" i="2" l="1"/>
  <c r="U143" i="2"/>
  <c r="Q145" i="2"/>
  <c r="W145" i="2" s="1"/>
  <c r="X145" i="2" s="1"/>
  <c r="W146" i="2"/>
  <c r="X146" i="2" s="1"/>
  <c r="U144" i="2"/>
  <c r="T155" i="2"/>
  <c r="S155" i="2"/>
  <c r="Q155" i="2"/>
  <c r="W155" i="2" s="1"/>
  <c r="X155" i="2" s="1"/>
  <c r="P155" i="2"/>
  <c r="U155" i="2" s="1"/>
  <c r="T154" i="2"/>
  <c r="S154" i="2"/>
  <c r="Q154" i="2"/>
  <c r="P154" i="2"/>
  <c r="U154" i="2" s="1"/>
  <c r="W154" i="2"/>
  <c r="X154" i="2" s="1"/>
  <c r="T153" i="2"/>
  <c r="S153" i="2"/>
  <c r="P153" i="2"/>
  <c r="Q153" i="2" s="1"/>
  <c r="W153" i="2"/>
  <c r="X153" i="2" s="1"/>
  <c r="T152" i="2"/>
  <c r="S152" i="2"/>
  <c r="Q152" i="2"/>
  <c r="W152" i="2" s="1"/>
  <c r="X152" i="2" s="1"/>
  <c r="P152" i="2"/>
  <c r="U152" i="2" s="1"/>
  <c r="U153" i="2" l="1"/>
  <c r="T164" i="2"/>
  <c r="S164" i="2"/>
  <c r="P164" i="2"/>
  <c r="Q164" i="2" s="1"/>
  <c r="W164" i="2"/>
  <c r="X164" i="2" s="1"/>
  <c r="T163" i="2"/>
  <c r="S163" i="2"/>
  <c r="P163" i="2"/>
  <c r="Q163" i="2" s="1"/>
  <c r="W163" i="2"/>
  <c r="X163" i="2" s="1"/>
  <c r="T162" i="2"/>
  <c r="S162" i="2"/>
  <c r="P162" i="2"/>
  <c r="U162" i="2" s="1"/>
  <c r="U161" i="2"/>
  <c r="T161" i="2"/>
  <c r="S161" i="2"/>
  <c r="P161" i="2"/>
  <c r="Q161" i="2" s="1"/>
  <c r="U164" i="2" l="1"/>
  <c r="W161" i="2"/>
  <c r="X161" i="2" s="1"/>
  <c r="Q162" i="2"/>
  <c r="W162" i="2" s="1"/>
  <c r="X162" i="2" s="1"/>
  <c r="U163" i="2"/>
  <c r="T173" i="2"/>
  <c r="S173" i="2"/>
  <c r="P173" i="2"/>
  <c r="U173" i="2" s="1"/>
  <c r="U172" i="2"/>
  <c r="T172" i="2"/>
  <c r="S172" i="2"/>
  <c r="P172" i="2"/>
  <c r="Q172" i="2" s="1"/>
  <c r="W172" i="2" s="1"/>
  <c r="X172" i="2" s="1"/>
  <c r="U171" i="2"/>
  <c r="T171" i="2"/>
  <c r="S171" i="2"/>
  <c r="P171" i="2"/>
  <c r="Q171" i="2" s="1"/>
  <c r="W171" i="2"/>
  <c r="X171" i="2" s="1"/>
  <c r="T170" i="2"/>
  <c r="S170" i="2"/>
  <c r="P170" i="2"/>
  <c r="Q170" i="2" s="1"/>
  <c r="U170" i="2"/>
  <c r="W170" i="2" l="1"/>
  <c r="X170" i="2" s="1"/>
  <c r="Q173" i="2"/>
  <c r="W173" i="2" s="1"/>
  <c r="X173" i="2" s="1"/>
  <c r="T181" i="2"/>
  <c r="S181" i="2"/>
  <c r="P181" i="2"/>
  <c r="Q181" i="2" s="1"/>
  <c r="U181" i="2"/>
  <c r="T180" i="2"/>
  <c r="S180" i="2"/>
  <c r="P180" i="2"/>
  <c r="U180" i="2" s="1"/>
  <c r="T179" i="2"/>
  <c r="S179" i="2"/>
  <c r="P179" i="2"/>
  <c r="U179" i="2" s="1"/>
  <c r="Q179" i="2" l="1"/>
  <c r="W179" i="2" s="1"/>
  <c r="X179" i="2" s="1"/>
  <c r="Q180" i="2"/>
  <c r="W180" i="2" s="1"/>
  <c r="X180" i="2" s="1"/>
  <c r="W181" i="2"/>
  <c r="X181" i="2" s="1"/>
  <c r="T190" i="2"/>
  <c r="S190" i="2"/>
  <c r="P190" i="2"/>
  <c r="Q190" i="2" s="1"/>
  <c r="T189" i="2"/>
  <c r="S189" i="2"/>
  <c r="P189" i="2"/>
  <c r="Q189" i="2" s="1"/>
  <c r="U189" i="2"/>
  <c r="T188" i="2"/>
  <c r="S188" i="2"/>
  <c r="P188" i="2"/>
  <c r="U188" i="2" s="1"/>
  <c r="T187" i="2"/>
  <c r="S187" i="2"/>
  <c r="P187" i="2"/>
  <c r="Q187" i="2" s="1"/>
  <c r="W187" i="2"/>
  <c r="X187" i="2" s="1"/>
  <c r="U190" i="2" l="1"/>
  <c r="W190" i="2"/>
  <c r="X190" i="2" s="1"/>
  <c r="Q188" i="2"/>
  <c r="W188" i="2" s="1"/>
  <c r="X188" i="2" s="1"/>
  <c r="U187" i="2"/>
  <c r="W189" i="2"/>
  <c r="X189" i="2" s="1"/>
  <c r="T199" i="2"/>
  <c r="S199" i="2"/>
  <c r="P199" i="2"/>
  <c r="Q199" i="2" s="1"/>
  <c r="W199" i="2" s="1"/>
  <c r="X199" i="2" s="1"/>
  <c r="T198" i="2"/>
  <c r="S198" i="2"/>
  <c r="P198" i="2"/>
  <c r="U198" i="2" s="1"/>
  <c r="U197" i="2"/>
  <c r="T197" i="2"/>
  <c r="S197" i="2"/>
  <c r="P197" i="2"/>
  <c r="Q197" i="2" s="1"/>
  <c r="W197" i="2"/>
  <c r="X197" i="2" s="1"/>
  <c r="T196" i="2"/>
  <c r="S196" i="2"/>
  <c r="P196" i="2"/>
  <c r="Q196" i="2" s="1"/>
  <c r="W196" i="2" s="1"/>
  <c r="X196" i="2" s="1"/>
  <c r="Q198" i="2" l="1"/>
  <c r="W198" i="2" s="1"/>
  <c r="X198" i="2" s="1"/>
  <c r="U199" i="2"/>
  <c r="U196" i="2"/>
  <c r="T208" i="2"/>
  <c r="S208" i="2"/>
  <c r="P208" i="2"/>
  <c r="Q208" i="2" s="1"/>
  <c r="U208" i="2"/>
  <c r="T207" i="2"/>
  <c r="S207" i="2"/>
  <c r="P207" i="2"/>
  <c r="U207" i="2" s="1"/>
  <c r="T206" i="2"/>
  <c r="S206" i="2"/>
  <c r="P206" i="2"/>
  <c r="Q206" i="2" s="1"/>
  <c r="W206" i="2" s="1"/>
  <c r="X206" i="2" s="1"/>
  <c r="T205" i="2"/>
  <c r="S205" i="2"/>
  <c r="P205" i="2"/>
  <c r="Q205" i="2" s="1"/>
  <c r="W205" i="2" s="1"/>
  <c r="X205" i="2" s="1"/>
  <c r="U205" i="2" l="1"/>
  <c r="Q207" i="2"/>
  <c r="W207" i="2" s="1"/>
  <c r="X207" i="2" s="1"/>
  <c r="W208" i="2"/>
  <c r="X208" i="2" s="1"/>
  <c r="U206" i="2"/>
  <c r="T232" i="2"/>
  <c r="S232" i="2"/>
  <c r="P232" i="2"/>
  <c r="Q232" i="2" s="1"/>
  <c r="T231" i="2"/>
  <c r="S231" i="2"/>
  <c r="P231" i="2"/>
  <c r="U231" i="2" s="1"/>
  <c r="U230" i="2"/>
  <c r="T230" i="2"/>
  <c r="S230" i="2"/>
  <c r="Q230" i="2"/>
  <c r="W230" i="2" s="1"/>
  <c r="X230" i="2" s="1"/>
  <c r="P230" i="2"/>
  <c r="T229" i="2"/>
  <c r="S229" i="2"/>
  <c r="Q229" i="2"/>
  <c r="P229" i="2"/>
  <c r="U229" i="2" s="1"/>
  <c r="W229" i="2"/>
  <c r="X229" i="2" s="1"/>
  <c r="T228" i="2"/>
  <c r="S228" i="2"/>
  <c r="P228" i="2"/>
  <c r="Q228" i="2" s="1"/>
  <c r="W228" i="2"/>
  <c r="X228" i="2" s="1"/>
  <c r="U228" i="2"/>
  <c r="T227" i="2"/>
  <c r="S227" i="2"/>
  <c r="P227" i="2"/>
  <c r="U227" i="2" s="1"/>
  <c r="U226" i="2"/>
  <c r="T226" i="2"/>
  <c r="S226" i="2"/>
  <c r="P226" i="2"/>
  <c r="Q226" i="2" s="1"/>
  <c r="W226" i="2" s="1"/>
  <c r="X226" i="2" s="1"/>
  <c r="T225" i="2"/>
  <c r="S225" i="2"/>
  <c r="Q225" i="2"/>
  <c r="W225" i="2" s="1"/>
  <c r="X225" i="2" s="1"/>
  <c r="P225" i="2"/>
  <c r="U225" i="2" s="1"/>
  <c r="T224" i="2"/>
  <c r="S224" i="2"/>
  <c r="P224" i="2"/>
  <c r="Q224" i="2" s="1"/>
  <c r="U224" i="2"/>
  <c r="T223" i="2"/>
  <c r="S223" i="2"/>
  <c r="P223" i="2"/>
  <c r="U223" i="2" s="1"/>
  <c r="T222" i="2"/>
  <c r="S222" i="2"/>
  <c r="P222" i="2"/>
  <c r="Q222" i="2" s="1"/>
  <c r="W222" i="2" s="1"/>
  <c r="X222" i="2" s="1"/>
  <c r="U221" i="2"/>
  <c r="T221" i="2"/>
  <c r="S221" i="2"/>
  <c r="Q221" i="2"/>
  <c r="W221" i="2" s="1"/>
  <c r="X221" i="2" s="1"/>
  <c r="P221" i="2"/>
  <c r="T220" i="2"/>
  <c r="S220" i="2"/>
  <c r="P220" i="2"/>
  <c r="Q220" i="2" s="1"/>
  <c r="U220" i="2"/>
  <c r="T219" i="2"/>
  <c r="S219" i="2"/>
  <c r="P219" i="2"/>
  <c r="U219" i="2" s="1"/>
  <c r="T218" i="2"/>
  <c r="S218" i="2"/>
  <c r="Q218" i="2"/>
  <c r="W218" i="2" s="1"/>
  <c r="X218" i="2" s="1"/>
  <c r="P218" i="2"/>
  <c r="U218" i="2" s="1"/>
  <c r="U217" i="2"/>
  <c r="T217" i="2"/>
  <c r="S217" i="2"/>
  <c r="P217" i="2"/>
  <c r="Q217" i="2" s="1"/>
  <c r="W217" i="2" s="1"/>
  <c r="X217" i="2" s="1"/>
  <c r="T216" i="2"/>
  <c r="S216" i="2"/>
  <c r="P216" i="2"/>
  <c r="Q216" i="2" s="1"/>
  <c r="W216" i="2" s="1"/>
  <c r="X216" i="2" s="1"/>
  <c r="T215" i="2"/>
  <c r="S215" i="2"/>
  <c r="P215" i="2"/>
  <c r="U215" i="2" s="1"/>
  <c r="W214" i="2"/>
  <c r="X214" i="2" s="1"/>
  <c r="U214" i="2"/>
  <c r="T214" i="2"/>
  <c r="S214" i="2"/>
  <c r="Q214" i="2"/>
  <c r="P214" i="2"/>
  <c r="U232" i="2" l="1"/>
  <c r="U216" i="2"/>
  <c r="U222" i="2"/>
  <c r="W227" i="2"/>
  <c r="X227" i="2" s="1"/>
  <c r="Q215" i="2"/>
  <c r="W215" i="2" s="1"/>
  <c r="X215" i="2" s="1"/>
  <c r="Q219" i="2"/>
  <c r="W219" i="2" s="1"/>
  <c r="X219" i="2" s="1"/>
  <c r="W220" i="2"/>
  <c r="X220" i="2" s="1"/>
  <c r="Q223" i="2"/>
  <c r="W223" i="2" s="1"/>
  <c r="X223" i="2" s="1"/>
  <c r="W224" i="2"/>
  <c r="X224" i="2" s="1"/>
  <c r="Q227" i="2"/>
  <c r="Q231" i="2"/>
  <c r="W231" i="2" s="1"/>
  <c r="X231" i="2" s="1"/>
  <c r="W232" i="2"/>
  <c r="X232" i="2" s="1"/>
  <c r="T241" i="2"/>
  <c r="S241" i="2"/>
  <c r="P241" i="2"/>
  <c r="U241" i="2" s="1"/>
  <c r="T240" i="2"/>
  <c r="S240" i="2"/>
  <c r="P240" i="2"/>
  <c r="Q240" i="2" s="1"/>
  <c r="W240" i="2" s="1"/>
  <c r="X240" i="2" s="1"/>
  <c r="T239" i="2"/>
  <c r="S239" i="2"/>
  <c r="P239" i="2"/>
  <c r="Q239" i="2" s="1"/>
  <c r="W239" i="2" s="1"/>
  <c r="X239" i="2" s="1"/>
  <c r="T238" i="2"/>
  <c r="S238" i="2"/>
  <c r="P238" i="2"/>
  <c r="Q238" i="2" s="1"/>
  <c r="U238" i="2"/>
  <c r="U239" i="2" l="1"/>
  <c r="Q241" i="2"/>
  <c r="W241" i="2" s="1"/>
  <c r="X241" i="2" s="1"/>
  <c r="U240" i="2"/>
  <c r="W238" i="2"/>
  <c r="X238" i="2" s="1"/>
  <c r="T250" i="2"/>
  <c r="S250" i="2"/>
  <c r="P250" i="2"/>
  <c r="U250" i="2" s="1"/>
  <c r="U249" i="2"/>
  <c r="T249" i="2"/>
  <c r="S249" i="2"/>
  <c r="P249" i="2"/>
  <c r="Q249" i="2" s="1"/>
  <c r="W249" i="2" s="1"/>
  <c r="X249" i="2" s="1"/>
  <c r="U248" i="2"/>
  <c r="T248" i="2"/>
  <c r="S248" i="2"/>
  <c r="P248" i="2"/>
  <c r="Q248" i="2" s="1"/>
  <c r="W248" i="2"/>
  <c r="X248" i="2" s="1"/>
  <c r="T247" i="2"/>
  <c r="S247" i="2"/>
  <c r="P247" i="2"/>
  <c r="Q247" i="2" s="1"/>
  <c r="U247" i="2"/>
  <c r="W247" i="2" l="1"/>
  <c r="X247" i="2" s="1"/>
  <c r="Q250" i="2"/>
  <c r="W250" i="2" s="1"/>
  <c r="X250" i="2" s="1"/>
  <c r="T257" i="2"/>
  <c r="S257" i="2"/>
  <c r="P257" i="2"/>
  <c r="Q257" i="2" s="1"/>
  <c r="T256" i="2"/>
  <c r="S256" i="2"/>
  <c r="P256" i="2"/>
  <c r="Q256" i="2" s="1"/>
  <c r="U256" i="2"/>
  <c r="U257" i="2" l="1"/>
  <c r="W257" i="2"/>
  <c r="X257" i="2" s="1"/>
  <c r="W256" i="2"/>
  <c r="X256" i="2" s="1"/>
  <c r="T264" i="2"/>
  <c r="S264" i="2"/>
  <c r="P264" i="2"/>
  <c r="Q264" i="2" s="1"/>
  <c r="W264" i="2" s="1"/>
  <c r="X264" i="2" s="1"/>
  <c r="T263" i="2"/>
  <c r="S263" i="2"/>
  <c r="P263" i="2"/>
  <c r="Q263" i="2" s="1"/>
  <c r="W263" i="2"/>
  <c r="X263" i="2" s="1"/>
  <c r="U263" i="2"/>
  <c r="U264" i="2" l="1"/>
  <c r="T273" i="2"/>
  <c r="S273" i="2"/>
  <c r="P273" i="2"/>
  <c r="Q273" i="2" s="1"/>
  <c r="W273" i="2"/>
  <c r="X273" i="2" s="1"/>
  <c r="T272" i="2"/>
  <c r="S272" i="2"/>
  <c r="P272" i="2"/>
  <c r="Q272" i="2" s="1"/>
  <c r="U272" i="2"/>
  <c r="T271" i="2"/>
  <c r="S271" i="2"/>
  <c r="P271" i="2"/>
  <c r="U271" i="2" s="1"/>
  <c r="U270" i="2"/>
  <c r="T270" i="2"/>
  <c r="S270" i="2"/>
  <c r="P270" i="2"/>
  <c r="Q270" i="2" s="1"/>
  <c r="W270" i="2"/>
  <c r="X270" i="2" s="1"/>
  <c r="U273" i="2" l="1"/>
  <c r="W272" i="2"/>
  <c r="X272" i="2" s="1"/>
  <c r="Q271" i="2"/>
  <c r="W271" i="2" s="1"/>
  <c r="X271" i="2" s="1"/>
  <c r="U23" i="2"/>
  <c r="T23" i="2"/>
  <c r="S23" i="2"/>
  <c r="Q23" i="2"/>
  <c r="W23" i="2" s="1"/>
  <c r="X23" i="2" s="1"/>
  <c r="P23" i="2"/>
  <c r="T22" i="2"/>
  <c r="S22" i="2"/>
  <c r="P22" i="2"/>
  <c r="Q22" i="2" s="1"/>
  <c r="W22" i="2" s="1"/>
  <c r="X22" i="2" s="1"/>
  <c r="U22" i="2"/>
  <c r="T21" i="2"/>
  <c r="S21" i="2"/>
  <c r="P21" i="2"/>
  <c r="U21" i="2" s="1"/>
  <c r="T20" i="2"/>
  <c r="S20" i="2"/>
  <c r="Q20" i="2"/>
  <c r="P20" i="2"/>
  <c r="U20" i="2" s="1"/>
  <c r="W20" i="2"/>
  <c r="X20" i="2" s="1"/>
  <c r="U19" i="2"/>
  <c r="T19" i="2"/>
  <c r="S19" i="2"/>
  <c r="Q19" i="2"/>
  <c r="P19" i="2"/>
  <c r="W19" i="2"/>
  <c r="X19" i="2" s="1"/>
  <c r="T18" i="2"/>
  <c r="S18" i="2"/>
  <c r="P18" i="2"/>
  <c r="Q18" i="2" s="1"/>
  <c r="W18" i="2" s="1"/>
  <c r="X18" i="2" s="1"/>
  <c r="T17" i="2"/>
  <c r="S17" i="2"/>
  <c r="Q17" i="2"/>
  <c r="P17" i="2"/>
  <c r="U17" i="2" s="1"/>
  <c r="W17" i="2"/>
  <c r="X17" i="2" s="1"/>
  <c r="U16" i="2"/>
  <c r="T16" i="2"/>
  <c r="S16" i="2"/>
  <c r="P16" i="2"/>
  <c r="Q16" i="2" s="1"/>
  <c r="W16" i="2" s="1"/>
  <c r="X16" i="2" s="1"/>
  <c r="U15" i="2"/>
  <c r="T15" i="2"/>
  <c r="S15" i="2"/>
  <c r="P15" i="2"/>
  <c r="Q15" i="2" s="1"/>
  <c r="W15" i="2" s="1"/>
  <c r="X15" i="2" s="1"/>
  <c r="T14" i="2"/>
  <c r="S14" i="2"/>
  <c r="P14" i="2"/>
  <c r="Q14" i="2" s="1"/>
  <c r="W14" i="2" s="1"/>
  <c r="X14" i="2" s="1"/>
  <c r="U14" i="2"/>
  <c r="H275" i="2"/>
  <c r="X274" i="2"/>
  <c r="X265" i="2"/>
  <c r="X258" i="2"/>
  <c r="X251" i="2"/>
  <c r="X242" i="2"/>
  <c r="X233" i="2"/>
  <c r="X209" i="2"/>
  <c r="X200" i="2"/>
  <c r="X191" i="2"/>
  <c r="X182" i="2"/>
  <c r="X174" i="2"/>
  <c r="X165" i="2"/>
  <c r="X156" i="2"/>
  <c r="X147" i="2"/>
  <c r="X138" i="2"/>
  <c r="X129" i="2"/>
  <c r="X120" i="2"/>
  <c r="X111" i="2"/>
  <c r="X102" i="2"/>
  <c r="X79" i="2"/>
  <c r="X70" i="2"/>
  <c r="X65" i="2"/>
  <c r="X56" i="2"/>
  <c r="X47" i="2"/>
  <c r="X42" i="2"/>
  <c r="X33" i="2"/>
  <c r="U18" i="2" l="1"/>
  <c r="C274" i="2"/>
  <c r="C275" i="2" s="1"/>
  <c r="C276" i="2" s="1"/>
  <c r="Q21" i="2"/>
  <c r="W21" i="2" s="1"/>
  <c r="X21" i="2" s="1"/>
  <c r="X24" i="2" l="1"/>
  <c r="X277" i="2"/>
  <c r="C8" i="1"/>
  <c r="C7" i="1"/>
  <c r="C5" i="1"/>
  <c r="C3" i="2" s="1"/>
  <c r="C4" i="1"/>
  <c r="C2" i="2" s="1"/>
  <c r="S255" i="2" l="1"/>
  <c r="S259" i="2" s="1"/>
  <c r="S169" i="2"/>
  <c r="S175" i="2" s="1"/>
  <c r="S151" i="2"/>
  <c r="S157" i="2" s="1"/>
  <c r="S160" i="2"/>
  <c r="S166" i="2" s="1"/>
  <c r="T169" i="2"/>
  <c r="T175" i="2" s="1"/>
  <c r="S237" i="2"/>
  <c r="S243" i="2" s="1"/>
  <c r="T115" i="2"/>
  <c r="T121" i="2" s="1"/>
  <c r="T151" i="2"/>
  <c r="T157" i="2" s="1"/>
  <c r="T160" i="2"/>
  <c r="T166" i="2" s="1"/>
  <c r="P178" i="2"/>
  <c r="P183" i="2" s="1"/>
  <c r="T124" i="2"/>
  <c r="T130" i="2" s="1"/>
  <c r="S213" i="2"/>
  <c r="S234" i="2" s="1"/>
  <c r="T83" i="2"/>
  <c r="T103" i="2" s="1"/>
  <c r="S60" i="2"/>
  <c r="S66" i="2" s="1"/>
  <c r="P115" i="2"/>
  <c r="P121" i="2" s="1"/>
  <c r="S186" i="2"/>
  <c r="S192" i="2" s="1"/>
  <c r="S195" i="2"/>
  <c r="S201" i="2" s="1"/>
  <c r="P246" i="2"/>
  <c r="P252" i="2" s="1"/>
  <c r="S74" i="2"/>
  <c r="S80" i="2" s="1"/>
  <c r="T213" i="2"/>
  <c r="T234" i="2" s="1"/>
  <c r="P169" i="2"/>
  <c r="P175" i="2" s="1"/>
  <c r="Q175" i="2" s="1"/>
  <c r="S106" i="2"/>
  <c r="S112" i="2" s="1"/>
  <c r="S69" i="2"/>
  <c r="S71" i="2" s="1"/>
  <c r="Q151" i="2"/>
  <c r="P151" i="2"/>
  <c r="P157" i="2" s="1"/>
  <c r="T195" i="2"/>
  <c r="T201" i="2" s="1"/>
  <c r="T74" i="2"/>
  <c r="T80" i="2" s="1"/>
  <c r="S269" i="2"/>
  <c r="S275" i="2" s="1"/>
  <c r="I275" i="2"/>
  <c r="T37" i="2"/>
  <c r="T43" i="2" s="1"/>
  <c r="T60" i="2"/>
  <c r="T66" i="2" s="1"/>
  <c r="T186" i="2"/>
  <c r="T192" i="2" s="1"/>
  <c r="S46" i="2"/>
  <c r="S48" i="2" s="1"/>
  <c r="T237" i="2"/>
  <c r="T243" i="2" s="1"/>
  <c r="S204" i="2"/>
  <c r="S210" i="2" s="1"/>
  <c r="T69" i="2"/>
  <c r="T71" i="2" s="1"/>
  <c r="T46" i="2"/>
  <c r="T48" i="2" s="1"/>
  <c r="Q166" i="2"/>
  <c r="P160" i="2"/>
  <c r="P166" i="2" s="1"/>
  <c r="P142" i="2"/>
  <c r="P148" i="2" s="1"/>
  <c r="Q148" i="2" s="1"/>
  <c r="S178" i="2"/>
  <c r="S183" i="2" s="1"/>
  <c r="P262" i="2"/>
  <c r="P266" i="2" s="1"/>
  <c r="S83" i="2"/>
  <c r="S103" i="2" s="1"/>
  <c r="T106" i="2"/>
  <c r="T112" i="2" s="1"/>
  <c r="T204" i="2"/>
  <c r="T210" i="2" s="1"/>
  <c r="P186" i="2"/>
  <c r="P192" i="2" s="1"/>
  <c r="P69" i="2"/>
  <c r="P71" i="2" s="1"/>
  <c r="S28" i="2"/>
  <c r="S34" i="2" s="1"/>
  <c r="T178" i="2"/>
  <c r="T183" i="2" s="1"/>
  <c r="S124" i="2"/>
  <c r="S130" i="2" s="1"/>
  <c r="S246" i="2"/>
  <c r="S252" i="2" s="1"/>
  <c r="T255" i="2"/>
  <c r="T259" i="2" s="1"/>
  <c r="P83" i="2"/>
  <c r="P103" i="2" s="1"/>
  <c r="J275" i="2"/>
  <c r="T269" i="2"/>
  <c r="T275" i="2" s="1"/>
  <c r="P237" i="2"/>
  <c r="P243" i="2" s="1"/>
  <c r="P60" i="2"/>
  <c r="P66" i="2" s="1"/>
  <c r="T28" i="2"/>
  <c r="T34" i="2" s="1"/>
  <c r="P46" i="2"/>
  <c r="P48" i="2" s="1"/>
  <c r="Q46" i="2"/>
  <c r="S133" i="2"/>
  <c r="S139" i="2" s="1"/>
  <c r="S142" i="2"/>
  <c r="S148" i="2" s="1"/>
  <c r="T246" i="2"/>
  <c r="T252" i="2" s="1"/>
  <c r="Q213" i="2"/>
  <c r="P213" i="2"/>
  <c r="P234" i="2" s="1"/>
  <c r="T133" i="2"/>
  <c r="T139" i="2" s="1"/>
  <c r="T142" i="2"/>
  <c r="T148" i="2" s="1"/>
  <c r="P195" i="2"/>
  <c r="P201" i="2" s="1"/>
  <c r="Q201" i="2" s="1"/>
  <c r="P124" i="2"/>
  <c r="P130" i="2" s="1"/>
  <c r="S262" i="2"/>
  <c r="S266" i="2" s="1"/>
  <c r="N275" i="2"/>
  <c r="S51" i="2"/>
  <c r="S57" i="2" s="1"/>
  <c r="P28" i="2"/>
  <c r="P34" i="2" s="1"/>
  <c r="Q28" i="2"/>
  <c r="P74" i="2"/>
  <c r="P80" i="2" s="1"/>
  <c r="Q80" i="2" s="1"/>
  <c r="T262" i="2"/>
  <c r="T266" i="2" s="1"/>
  <c r="P51" i="2"/>
  <c r="P57" i="2" s="1"/>
  <c r="P204" i="2"/>
  <c r="P210" i="2" s="1"/>
  <c r="P255" i="2"/>
  <c r="P259" i="2" s="1"/>
  <c r="O275" i="2"/>
  <c r="P269" i="2"/>
  <c r="P275" i="2" s="1"/>
  <c r="S115" i="2"/>
  <c r="S121" i="2" s="1"/>
  <c r="P37" i="2"/>
  <c r="P43" i="2" s="1"/>
  <c r="Q37" i="2"/>
  <c r="T51" i="2"/>
  <c r="T57" i="2" s="1"/>
  <c r="P106" i="2"/>
  <c r="P112" i="2" s="1"/>
  <c r="S37" i="2"/>
  <c r="S43" i="2" s="1"/>
  <c r="P133" i="2"/>
  <c r="P139" i="2" s="1"/>
  <c r="Q204" i="2" l="1"/>
  <c r="W204" i="2" s="1"/>
  <c r="X204" i="2" s="1"/>
  <c r="Q255" i="2"/>
  <c r="W255" i="2" s="1"/>
  <c r="X255" i="2" s="1"/>
  <c r="W37" i="2"/>
  <c r="X37" i="2" s="1"/>
  <c r="Q112" i="2"/>
  <c r="Q234" i="2"/>
  <c r="Q237" i="2"/>
  <c r="W237" i="2" s="1"/>
  <c r="X237" i="2" s="1"/>
  <c r="Q192" i="2"/>
  <c r="Q262" i="2"/>
  <c r="Q160" i="2"/>
  <c r="Q106" i="2"/>
  <c r="W106" i="2" s="1"/>
  <c r="X106" i="2" s="1"/>
  <c r="Q186" i="2"/>
  <c r="W46" i="2"/>
  <c r="X46" i="2" s="1"/>
  <c r="Q133" i="2"/>
  <c r="Q275" i="2"/>
  <c r="Q259" i="2"/>
  <c r="Q157" i="2"/>
  <c r="S13" i="2"/>
  <c r="S25" i="2" s="1"/>
  <c r="I278" i="2"/>
  <c r="J278" i="2"/>
  <c r="T13" i="2"/>
  <c r="T25" i="2" s="1"/>
  <c r="N278" i="2"/>
  <c r="P13" i="2"/>
  <c r="P25" i="2" s="1"/>
  <c r="O278" i="2"/>
  <c r="W157" i="2"/>
  <c r="X157" i="2" s="1"/>
  <c r="U151" i="2"/>
  <c r="U157" i="2" s="1"/>
  <c r="Q57" i="2"/>
  <c r="Q74" i="2"/>
  <c r="W74" i="2" s="1"/>
  <c r="X74" i="2" s="1"/>
  <c r="Q195" i="2"/>
  <c r="W195" i="2" s="1"/>
  <c r="X195" i="2" s="1"/>
  <c r="K275" i="2"/>
  <c r="L275" i="2" s="1"/>
  <c r="W275" i="2" s="1"/>
  <c r="X275" i="2" s="1"/>
  <c r="U269" i="2"/>
  <c r="U275" i="2" s="1"/>
  <c r="Q43" i="2"/>
  <c r="Q51" i="2"/>
  <c r="W51" i="2" s="1"/>
  <c r="X51" i="2" s="1"/>
  <c r="Q48" i="2"/>
  <c r="Q60" i="2"/>
  <c r="W60" i="2" s="1"/>
  <c r="X60" i="2" s="1"/>
  <c r="Q266" i="2"/>
  <c r="U37" i="2"/>
  <c r="U43" i="2" s="1"/>
  <c r="W43" i="2"/>
  <c r="X43" i="2" s="1"/>
  <c r="Q246" i="2"/>
  <c r="Q115" i="2"/>
  <c r="Q178" i="2"/>
  <c r="W178" i="2" s="1"/>
  <c r="X178" i="2" s="1"/>
  <c r="W151" i="2"/>
  <c r="X151" i="2" s="1"/>
  <c r="U169" i="2"/>
  <c r="U175" i="2" s="1"/>
  <c r="U60" i="2"/>
  <c r="U66" i="2" s="1"/>
  <c r="W234" i="2"/>
  <c r="X234" i="2" s="1"/>
  <c r="U213" i="2"/>
  <c r="U234" i="2" s="1"/>
  <c r="U115" i="2"/>
  <c r="U121" i="2" s="1"/>
  <c r="W175" i="2"/>
  <c r="X175" i="2" s="1"/>
  <c r="Q66" i="2"/>
  <c r="W71" i="2"/>
  <c r="X71" i="2" s="1"/>
  <c r="U69" i="2"/>
  <c r="U71" i="2" s="1"/>
  <c r="W201" i="2"/>
  <c r="X201" i="2" s="1"/>
  <c r="U195" i="2"/>
  <c r="U201" i="2" s="1"/>
  <c r="U160" i="2"/>
  <c r="U166" i="2" s="1"/>
  <c r="U133" i="2"/>
  <c r="U139" i="2" s="1"/>
  <c r="U178" i="2"/>
  <c r="U183" i="2" s="1"/>
  <c r="U142" i="2"/>
  <c r="U148" i="2" s="1"/>
  <c r="U262" i="2"/>
  <c r="U266" i="2" s="1"/>
  <c r="W148" i="2"/>
  <c r="X148" i="2" s="1"/>
  <c r="W266" i="2"/>
  <c r="X266" i="2" s="1"/>
  <c r="Q130" i="2"/>
  <c r="W130" i="2" s="1"/>
  <c r="X130" i="2" s="1"/>
  <c r="U28" i="2"/>
  <c r="U34" i="2" s="1"/>
  <c r="Q103" i="2"/>
  <c r="W213" i="2"/>
  <c r="X213" i="2" s="1"/>
  <c r="U124" i="2"/>
  <c r="U130" i="2" s="1"/>
  <c r="W166" i="2"/>
  <c r="X166" i="2" s="1"/>
  <c r="U255" i="2"/>
  <c r="U259" i="2" s="1"/>
  <c r="Q34" i="2"/>
  <c r="Q139" i="2"/>
  <c r="Q210" i="2"/>
  <c r="W262" i="2"/>
  <c r="X262" i="2" s="1"/>
  <c r="Q124" i="2"/>
  <c r="W28" i="2"/>
  <c r="X28" i="2" s="1"/>
  <c r="Q243" i="2"/>
  <c r="Q83" i="2"/>
  <c r="W83" i="2" s="1"/>
  <c r="X83" i="2" s="1"/>
  <c r="W210" i="2"/>
  <c r="X210" i="2" s="1"/>
  <c r="U204" i="2"/>
  <c r="U210" i="2" s="1"/>
  <c r="U83" i="2"/>
  <c r="U103" i="2" s="1"/>
  <c r="W160" i="2"/>
  <c r="X160" i="2" s="1"/>
  <c r="W115" i="2"/>
  <c r="X115" i="2" s="1"/>
  <c r="U51" i="2"/>
  <c r="U57" i="2" s="1"/>
  <c r="W57" i="2"/>
  <c r="X57" i="2" s="1"/>
  <c r="U246" i="2"/>
  <c r="U252" i="2" s="1"/>
  <c r="Q71" i="2"/>
  <c r="U46" i="2"/>
  <c r="U48" i="2" s="1"/>
  <c r="W48" i="2"/>
  <c r="X48" i="2" s="1"/>
  <c r="W192" i="2"/>
  <c r="X192" i="2" s="1"/>
  <c r="U186" i="2"/>
  <c r="U192" i="2" s="1"/>
  <c r="W103" i="2"/>
  <c r="X103" i="2" s="1"/>
  <c r="W124" i="2"/>
  <c r="X124" i="2" s="1"/>
  <c r="W243" i="2"/>
  <c r="X243" i="2" s="1"/>
  <c r="U237" i="2"/>
  <c r="U243" i="2" s="1"/>
  <c r="Q269" i="2"/>
  <c r="W269" i="2" s="1"/>
  <c r="X269" i="2" s="1"/>
  <c r="W133" i="2"/>
  <c r="X133" i="2" s="1"/>
  <c r="Q69" i="2"/>
  <c r="W112" i="2"/>
  <c r="X112" i="2" s="1"/>
  <c r="U106" i="2"/>
  <c r="U112" i="2" s="1"/>
  <c r="Q142" i="2"/>
  <c r="W80" i="2"/>
  <c r="X80" i="2" s="1"/>
  <c r="U74" i="2"/>
  <c r="U80" i="2" s="1"/>
  <c r="Q169" i="2"/>
  <c r="W169" i="2" s="1"/>
  <c r="X169" i="2" s="1"/>
  <c r="Q252" i="2"/>
  <c r="Q121" i="2"/>
  <c r="Q183" i="2"/>
  <c r="W183" i="2" s="1"/>
  <c r="X183" i="2" s="1"/>
  <c r="C277" i="2"/>
  <c r="C278" i="2" s="1"/>
  <c r="P278" i="2"/>
  <c r="S278" i="2"/>
  <c r="T278" i="2" l="1"/>
  <c r="W186" i="2"/>
  <c r="X186" i="2" s="1"/>
  <c r="W259" i="2"/>
  <c r="X259" i="2" s="1"/>
  <c r="W69" i="2"/>
  <c r="X69" i="2" s="1"/>
  <c r="W252" i="2"/>
  <c r="X252" i="2" s="1"/>
  <c r="W246" i="2"/>
  <c r="X246" i="2" s="1"/>
  <c r="W34" i="2"/>
  <c r="X34" i="2" s="1"/>
  <c r="W139" i="2"/>
  <c r="X139" i="2" s="1"/>
  <c r="W66" i="2"/>
  <c r="X66" i="2" s="1"/>
  <c r="K278" i="2"/>
  <c r="L278" i="2" s="1"/>
  <c r="U13" i="2"/>
  <c r="U25" i="2" s="1"/>
  <c r="W121" i="2"/>
  <c r="X121" i="2" s="1"/>
  <c r="Q25" i="2"/>
  <c r="Q13" i="2"/>
  <c r="W142" i="2"/>
  <c r="X142" i="2" s="1"/>
  <c r="Q278" i="2"/>
  <c r="U278" i="2" l="1"/>
  <c r="W13" i="2"/>
  <c r="X13" i="2" s="1"/>
  <c r="W278" i="2"/>
  <c r="X278" i="2" s="1"/>
  <c r="W25" i="2"/>
  <c r="X25" i="2" s="1"/>
</calcChain>
</file>

<file path=xl/sharedStrings.xml><?xml version="1.0" encoding="utf-8"?>
<sst xmlns="http://schemas.openxmlformats.org/spreadsheetml/2006/main" count="4198" uniqueCount="3298">
  <si>
    <t>Title</t>
  </si>
  <si>
    <t>Value</t>
  </si>
  <si>
    <t>Lookup</t>
  </si>
  <si>
    <t>Report Filters</t>
  </si>
  <si>
    <t>Option</t>
  </si>
  <si>
    <t>Start Date</t>
  </si>
  <si>
    <t>End Date</t>
  </si>
  <si>
    <t>Gen. Prod. Posting Group</t>
  </si>
  <si>
    <t>*</t>
  </si>
  <si>
    <t>Product Group Code</t>
  </si>
  <si>
    <t>Item No.</t>
  </si>
  <si>
    <t>Hide</t>
  </si>
  <si>
    <t>Fit</t>
  </si>
  <si>
    <t>hide</t>
  </si>
  <si>
    <t>Date Range1</t>
  </si>
  <si>
    <t>Item Sales By Product Group-Year over Year</t>
  </si>
  <si>
    <t>Date Range2</t>
  </si>
  <si>
    <t xml:space="preserve"> </t>
  </si>
  <si>
    <t>Change in</t>
  </si>
  <si>
    <t>Product Group</t>
  </si>
  <si>
    <t>Description</t>
  </si>
  <si>
    <t>Unit Cost</t>
  </si>
  <si>
    <t>Sales Qty</t>
  </si>
  <si>
    <t>Sales $</t>
  </si>
  <si>
    <t>Gross ($)</t>
  </si>
  <si>
    <t>Profit %</t>
  </si>
  <si>
    <t>Auto</t>
  </si>
  <si>
    <t>Report Total</t>
  </si>
  <si>
    <t xml:space="preserve">Report Readme </t>
  </si>
  <si>
    <t>About the report</t>
  </si>
  <si>
    <t>Version of Jet</t>
  </si>
  <si>
    <t>Services</t>
  </si>
  <si>
    <t>Training</t>
  </si>
  <si>
    <t>Sales</t>
  </si>
  <si>
    <t>Copyrights</t>
  </si>
  <si>
    <t>=NP("Datefilter",C2,C3)</t>
  </si>
  <si>
    <t>=NP("Datefilter",DATE(YEAR(C2)-1,MONTH(C2),DAY(C2)),DATE(YEAR(C3)-1,MONTH(C3),DAY(C3)))</t>
  </si>
  <si>
    <t>=ItemNo</t>
  </si>
  <si>
    <t>=Genprodpostinggroup</t>
  </si>
  <si>
    <t>=Productgroupcode</t>
  </si>
  <si>
    <t>=$C$4</t>
  </si>
  <si>
    <t>=$C$5</t>
  </si>
  <si>
    <t>=E12</t>
  </si>
  <si>
    <t>=C12</t>
  </si>
  <si>
    <t>=J13-(I13*H13)</t>
  </si>
  <si>
    <t>=IF(J13=0,0,K13/J13)</t>
  </si>
  <si>
    <t>=O13-(N13*$H13)</t>
  </si>
  <si>
    <t>=IF(O13=0,0,P13/O13)</t>
  </si>
  <si>
    <t>=I13-N13</t>
  </si>
  <si>
    <t>=J13-O13</t>
  </si>
  <si>
    <t>=K13-P13</t>
  </si>
  <si>
    <t>=L13-Q13</t>
  </si>
  <si>
    <t>=W13</t>
  </si>
  <si>
    <t>=C13</t>
  </si>
  <si>
    <t>=W14</t>
  </si>
  <si>
    <t>=C14</t>
  </si>
  <si>
    <t>=E12&amp;" Total"</t>
  </si>
  <si>
    <t>=SUBTOTAL(9,I13:I14)</t>
  </si>
  <si>
    <t>=SUBTOTAL(9,J13:J14)</t>
  </si>
  <si>
    <t>=SUBTOTAL(9,K13:K14)</t>
  </si>
  <si>
    <t>=IF(J15=0,0,K15/J15)</t>
  </si>
  <si>
    <t>=SUM(P13:P14)</t>
  </si>
  <si>
    <t>=IF(O15=0,0,P15/O15)</t>
  </si>
  <si>
    <t>=SUBTOTAL(9,S13:S14)</t>
  </si>
  <si>
    <t>=SUBTOTAL(9,T13:T14)</t>
  </si>
  <si>
    <t>=SUBTOTAL(9,U13:U14)</t>
  </si>
  <si>
    <t>=L15-Q15</t>
  </si>
  <si>
    <t>=W15</t>
  </si>
  <si>
    <t>=C15</t>
  </si>
  <si>
    <t>=W16</t>
  </si>
  <si>
    <t>=C16</t>
  </si>
  <si>
    <t>=IF(J17=0,0,K17/J17)</t>
  </si>
  <si>
    <t>=IF(O17=0,0,P17/O17)</t>
  </si>
  <si>
    <t>=L17-Q17</t>
  </si>
  <si>
    <t>=W17</t>
  </si>
  <si>
    <t>=J14-(I14*H14)</t>
  </si>
  <si>
    <t>=IF(J14=0,0,K14/J14)</t>
  </si>
  <si>
    <t>=O14-(N14*$H14)</t>
  </si>
  <si>
    <t>=IF(O14=0,0,P14/O14)</t>
  </si>
  <si>
    <t>=I14-N14</t>
  </si>
  <si>
    <t>=J14-O14</t>
  </si>
  <si>
    <t>=K14-P14</t>
  </si>
  <si>
    <t>=L14-Q14</t>
  </si>
  <si>
    <t>=J15-(I15*H15)</t>
  </si>
  <si>
    <t>=O15-(N15*$H15)</t>
  </si>
  <si>
    <t>=I15-N15</t>
  </si>
  <si>
    <t>=J15-O15</t>
  </si>
  <si>
    <t>=K15-P15</t>
  </si>
  <si>
    <t>=J16-(I16*H16)</t>
  </si>
  <si>
    <t>=IF(J16=0,0,K16/J16)</t>
  </si>
  <si>
    <t>=O16-(N16*$H16)</t>
  </si>
  <si>
    <t>=IF(O16=0,0,P16/O16)</t>
  </si>
  <si>
    <t>=I16-N16</t>
  </si>
  <si>
    <t>=J16-O16</t>
  </si>
  <si>
    <t>=K16-P16</t>
  </si>
  <si>
    <t>=L16-Q16</t>
  </si>
  <si>
    <t>=J17-(I17*H17)</t>
  </si>
  <si>
    <t>=O17-(N17*$H17)</t>
  </si>
  <si>
    <t>=I17-N17</t>
  </si>
  <si>
    <t>=J17-O17</t>
  </si>
  <si>
    <t>=K17-P17</t>
  </si>
  <si>
    <t>=W18</t>
  </si>
  <si>
    <t>=C18</t>
  </si>
  <si>
    <t>=IF(J19=0,0,K19/J19)</t>
  </si>
  <si>
    <t>=IF(O19=0,0,P19/O19)</t>
  </si>
  <si>
    <t>=L19-Q19</t>
  </si>
  <si>
    <t>=W19</t>
  </si>
  <si>
    <t>=C19</t>
  </si>
  <si>
    <t>=W20</t>
  </si>
  <si>
    <t>=C21</t>
  </si>
  <si>
    <t>=J22-(I22*H22)</t>
  </si>
  <si>
    <t>=IF(J22=0,0,K22/J22)</t>
  </si>
  <si>
    <t>=O22-(N22*$H22)</t>
  </si>
  <si>
    <t>=IF(O22=0,0,P22/O22)</t>
  </si>
  <si>
    <t>=I22-N22</t>
  </si>
  <si>
    <t>=J22-O22</t>
  </si>
  <si>
    <t>=K22-P22</t>
  </si>
  <si>
    <t>=L22-Q22</t>
  </si>
  <si>
    <t>=W22</t>
  </si>
  <si>
    <t>=C22</t>
  </si>
  <si>
    <t>=W23</t>
  </si>
  <si>
    <t>=W24</t>
  </si>
  <si>
    <t>=W25</t>
  </si>
  <si>
    <t>=C26</t>
  </si>
  <si>
    <t>=C28</t>
  </si>
  <si>
    <t>=J29-(I29*H29)</t>
  </si>
  <si>
    <t>=IF(J29=0,0,K29/J29)</t>
  </si>
  <si>
    <t>=O29-(N29*$H29)</t>
  </si>
  <si>
    <t>=IF(O29=0,0,P29/O29)</t>
  </si>
  <si>
    <t>=I29-N29</t>
  </si>
  <si>
    <t>=J29-O29</t>
  </si>
  <si>
    <t>=K29-P29</t>
  </si>
  <si>
    <t>=L29-Q29</t>
  </si>
  <si>
    <t>=W29</t>
  </si>
  <si>
    <t>=W30</t>
  </si>
  <si>
    <t>=C30</t>
  </si>
  <si>
    <t>=IF(J31=0,0,K31/J31)</t>
  </si>
  <si>
    <t>=IF(O31=0,0,P31/O31)</t>
  </si>
  <si>
    <t>=L31-Q31</t>
  </si>
  <si>
    <t>=W31</t>
  </si>
  <si>
    <t>=W32</t>
  </si>
  <si>
    <t>=C33</t>
  </si>
  <si>
    <t>=W34</t>
  </si>
  <si>
    <t>=W37</t>
  </si>
  <si>
    <t>=C37</t>
  </si>
  <si>
    <t>=IF(J38=0,0,K38/J38)</t>
  </si>
  <si>
    <t>=IF(O38=0,0,P38/O38)</t>
  </si>
  <si>
    <t>=L38-Q38</t>
  </si>
  <si>
    <t>=W38</t>
  </si>
  <si>
    <t>=C20</t>
  </si>
  <si>
    <t>=J23-(I23*H23)</t>
  </si>
  <si>
    <t>=IF(J23=0,0,K23/J23)</t>
  </si>
  <si>
    <t>=O23-(N23*$H23)</t>
  </si>
  <si>
    <t>=IF(O23=0,0,P23/O23)</t>
  </si>
  <si>
    <t>=I23-N23</t>
  </si>
  <si>
    <t>=J23-O23</t>
  </si>
  <si>
    <t>=K23-P23</t>
  </si>
  <si>
    <t>=L23-Q23</t>
  </si>
  <si>
    <t>=C25</t>
  </si>
  <si>
    <t>=C29</t>
  </si>
  <si>
    <t>=J30-(I30*H30)</t>
  </si>
  <si>
    <t>=IF(J30=0,0,K30/J30)</t>
  </si>
  <si>
    <t>=O30-(N30*$H30)</t>
  </si>
  <si>
    <t>=IF(O30=0,0,P30/O30)</t>
  </si>
  <si>
    <t>=I30-N30</t>
  </si>
  <si>
    <t>=J30-O30</t>
  </si>
  <si>
    <t>=K30-P30</t>
  </si>
  <si>
    <t>=L30-Q30</t>
  </si>
  <si>
    <t>=J31-(I31*H31)</t>
  </si>
  <si>
    <t>=O31-(N31*$H31)</t>
  </si>
  <si>
    <t>=I31-N31</t>
  </si>
  <si>
    <t>=J31-O31</t>
  </si>
  <si>
    <t>=K31-P31</t>
  </si>
  <si>
    <t>=W33</t>
  </si>
  <si>
    <t>=C36</t>
  </si>
  <si>
    <t>="C100028"</t>
  </si>
  <si>
    <t>="C100029"</t>
  </si>
  <si>
    <t>="C100030"</t>
  </si>
  <si>
    <t>="E100011"</t>
  </si>
  <si>
    <t>="USB"</t>
  </si>
  <si>
    <t>="E100035"</t>
  </si>
  <si>
    <t>="E100038"</t>
  </si>
  <si>
    <t>="TRAVEL"</t>
  </si>
  <si>
    <t>="C100067"</t>
  </si>
  <si>
    <t>="E100042"</t>
  </si>
  <si>
    <t>="TRAV CLOCK"</t>
  </si>
  <si>
    <t>="E100019"</t>
  </si>
  <si>
    <t>=J37-(I37*H37)</t>
  </si>
  <si>
    <t>=IF(J37=0,0,K37/J37)</t>
  </si>
  <si>
    <t>=O37-(N37*$H37)</t>
  </si>
  <si>
    <t>=IF(O37=0,0,P37/O37)</t>
  </si>
  <si>
    <t>=I37-N37</t>
  </si>
  <si>
    <t>=J37-O37</t>
  </si>
  <si>
    <t>=K37-P37</t>
  </si>
  <si>
    <t>=L37-Q37</t>
  </si>
  <si>
    <t>="E100020"</t>
  </si>
  <si>
    <t>=J38-(I38*H38)</t>
  </si>
  <si>
    <t>=O38-(N38*$H38)</t>
  </si>
  <si>
    <t>=I38-N38</t>
  </si>
  <si>
    <t>=J38-O38</t>
  </si>
  <si>
    <t>=K38-P38</t>
  </si>
  <si>
    <t>=C38</t>
  </si>
  <si>
    <t>="E100021"</t>
  </si>
  <si>
    <t>=J39-(I39*H39)</t>
  </si>
  <si>
    <t>=IF(J39=0,0,K39/J39)</t>
  </si>
  <si>
    <t>=O39-(N39*$H39)</t>
  </si>
  <si>
    <t>=IF(O39=0,0,P39/O39)</t>
  </si>
  <si>
    <t>=I39-N39</t>
  </si>
  <si>
    <t>=J39-O39</t>
  </si>
  <si>
    <t>=K39-P39</t>
  </si>
  <si>
    <t>=L39-Q39</t>
  </si>
  <si>
    <t>=W39</t>
  </si>
  <si>
    <t>=C39</t>
  </si>
  <si>
    <t>="E100022"</t>
  </si>
  <si>
    <t>=J40-(I40*H40)</t>
  </si>
  <si>
    <t>=IF(J40=0,0,K40/J40)</t>
  </si>
  <si>
    <t>=O40-(N40*$H40)</t>
  </si>
  <si>
    <t>=IF(O40=0,0,P40/O40)</t>
  </si>
  <si>
    <t>=I40-N40</t>
  </si>
  <si>
    <t>=J40-O40</t>
  </si>
  <si>
    <t>=K40-P40</t>
  </si>
  <si>
    <t>=L40-Q40</t>
  </si>
  <si>
    <t>=W40</t>
  </si>
  <si>
    <t>=W41</t>
  </si>
  <si>
    <t>=W42</t>
  </si>
  <si>
    <t>=C42</t>
  </si>
  <si>
    <t>=W43</t>
  </si>
  <si>
    <t>="TOTE"</t>
  </si>
  <si>
    <t>=C45</t>
  </si>
  <si>
    <t>="E100002"</t>
  </si>
  <si>
    <t>=J46-(I46*H46)</t>
  </si>
  <si>
    <t>=IF(J46=0,0,K46/J46)</t>
  </si>
  <si>
    <t>=O46-(N46*$H46)</t>
  </si>
  <si>
    <t>=IF(O46=0,0,P46/O46)</t>
  </si>
  <si>
    <t>=I46-N46</t>
  </si>
  <si>
    <t>=J46-O46</t>
  </si>
  <si>
    <t>=K46-P46</t>
  </si>
  <si>
    <t>=L46-Q46</t>
  </si>
  <si>
    <t>=W46</t>
  </si>
  <si>
    <t>=C46</t>
  </si>
  <si>
    <t>="E100003"</t>
  </si>
  <si>
    <t>=W47</t>
  </si>
  <si>
    <t>=C47</t>
  </si>
  <si>
    <t>="E100004"</t>
  </si>
  <si>
    <t>=IF(J48=0,0,K48/J48)</t>
  </si>
  <si>
    <t>=IF(O48=0,0,P48/O48)</t>
  </si>
  <si>
    <t>=L48-Q48</t>
  </si>
  <si>
    <t>=W48</t>
  </si>
  <si>
    <t>=C48</t>
  </si>
  <si>
    <t>="E100005"</t>
  </si>
  <si>
    <t>=C50</t>
  </si>
  <si>
    <t>=IF(J51=0,0,K51/J51)</t>
  </si>
  <si>
    <t>=IF(O51=0,0,P51/O51)</t>
  </si>
  <si>
    <t>=L51-Q51</t>
  </si>
  <si>
    <t>=W51</t>
  </si>
  <si>
    <t>=C51</t>
  </si>
  <si>
    <t>=W52</t>
  </si>
  <si>
    <t>="STOPWATCH"</t>
  </si>
  <si>
    <t>=C53</t>
  </si>
  <si>
    <t>=J54-(I54*H54)</t>
  </si>
  <si>
    <t>=IF(J54=0,0,K54/J54)</t>
  </si>
  <si>
    <t>=O54-(N54*$H54)</t>
  </si>
  <si>
    <t>=IF(O54=0,0,P54/O54)</t>
  </si>
  <si>
    <t>=I54-N54</t>
  </si>
  <si>
    <t>=J54-O54</t>
  </si>
  <si>
    <t>=K54-P54</t>
  </si>
  <si>
    <t>=L54-Q54</t>
  </si>
  <si>
    <t>=W54</t>
  </si>
  <si>
    <t>=C54</t>
  </si>
  <si>
    <t>="E100013"</t>
  </si>
  <si>
    <t>=J55-(I55*H55)</t>
  </si>
  <si>
    <t>=IF(J55=0,0,K55/J55)</t>
  </si>
  <si>
    <t>=O55-(N55*$H55)</t>
  </si>
  <si>
    <t>=IF(O55=0,0,P55/O55)</t>
  </si>
  <si>
    <t>=I55-N55</t>
  </si>
  <si>
    <t>=J55-O55</t>
  </si>
  <si>
    <t>=K55-P55</t>
  </si>
  <si>
    <t>=L55-Q55</t>
  </si>
  <si>
    <t>=W55</t>
  </si>
  <si>
    <t>="E100014"</t>
  </si>
  <si>
    <t>=W56</t>
  </si>
  <si>
    <t>=C56</t>
  </si>
  <si>
    <t>="S100020"</t>
  </si>
  <si>
    <t>=IF(J57=0,0,K57/J57)</t>
  </si>
  <si>
    <t>=IF(O57=0,0,P57/O57)</t>
  </si>
  <si>
    <t>=L57-Q57</t>
  </si>
  <si>
    <t>=W57</t>
  </si>
  <si>
    <t>=C57</t>
  </si>
  <si>
    <t>="S100021"</t>
  </si>
  <si>
    <t>=C59</t>
  </si>
  <si>
    <t>=IF(J60=0,0,K60/J60)</t>
  </si>
  <si>
    <t>=IF(O60=0,0,P60/O60)</t>
  </si>
  <si>
    <t>=L60-Q60</t>
  </si>
  <si>
    <t>=W60</t>
  </si>
  <si>
    <t>=C60</t>
  </si>
  <si>
    <t>=W61</t>
  </si>
  <si>
    <t>="SPORTS BAG"</t>
  </si>
  <si>
    <t>=C62</t>
  </si>
  <si>
    <t>=J63-(I63*H63)</t>
  </si>
  <si>
    <t>=IF(J63=0,0,K63/J63)</t>
  </si>
  <si>
    <t>=O63-(N63*$H63)</t>
  </si>
  <si>
    <t>=IF(O63=0,0,P63/O63)</t>
  </si>
  <si>
    <t>=I63-N63</t>
  </si>
  <si>
    <t>=J63-O63</t>
  </si>
  <si>
    <t>=K63-P63</t>
  </si>
  <si>
    <t>=L63-Q63</t>
  </si>
  <si>
    <t>=W63</t>
  </si>
  <si>
    <t>=C63</t>
  </si>
  <si>
    <t>="C100018"</t>
  </si>
  <si>
    <t>=J64-(I64*H64)</t>
  </si>
  <si>
    <t>=IF(J64=0,0,K64/J64)</t>
  </si>
  <si>
    <t>=O64-(N64*$H64)</t>
  </si>
  <si>
    <t>=IF(O64=0,0,P64/O64)</t>
  </si>
  <si>
    <t>=I64-N64</t>
  </si>
  <si>
    <t>=J64-O64</t>
  </si>
  <si>
    <t>=K64-P64</t>
  </si>
  <si>
    <t>=L64-Q64</t>
  </si>
  <si>
    <t>=W64</t>
  </si>
  <si>
    <t>="C100019"</t>
  </si>
  <si>
    <t>=W65</t>
  </si>
  <si>
    <t>=C65</t>
  </si>
  <si>
    <t>="C100020"</t>
  </si>
  <si>
    <t>=IF(J66=0,0,K66/J66)</t>
  </si>
  <si>
    <t>=IF(O66=0,0,P66/O66)</t>
  </si>
  <si>
    <t>=L66-Q66</t>
  </si>
  <si>
    <t>=W66</t>
  </si>
  <si>
    <t>=C66</t>
  </si>
  <si>
    <t>="E100001"</t>
  </si>
  <si>
    <t>=C68</t>
  </si>
  <si>
    <t>=IF(J69=0,0,K69/J69)</t>
  </si>
  <si>
    <t>=IF(O69=0,0,P69/O69)</t>
  </si>
  <si>
    <t>=L69-Q69</t>
  </si>
  <si>
    <t>=W69</t>
  </si>
  <si>
    <t>=C69</t>
  </si>
  <si>
    <t>=W70</t>
  </si>
  <si>
    <t>="SPORT BOT"</t>
  </si>
  <si>
    <t>=C71</t>
  </si>
  <si>
    <t>="S100023"</t>
  </si>
  <si>
    <t>="S100024"</t>
  </si>
  <si>
    <t>=W74</t>
  </si>
  <si>
    <t>=C74</t>
  </si>
  <si>
    <t>="S100025"</t>
  </si>
  <si>
    <t>=IF(J75=0,0,K75/J75)</t>
  </si>
  <si>
    <t>=IF(O75=0,0,P75/O75)</t>
  </si>
  <si>
    <t>=L75-Q75</t>
  </si>
  <si>
    <t>=W75</t>
  </si>
  <si>
    <t>=C75</t>
  </si>
  <si>
    <t>="S100026"</t>
  </si>
  <si>
    <t>=W76</t>
  </si>
  <si>
    <t>=C77</t>
  </si>
  <si>
    <t>=IF(J78=0,0,K78/J78)</t>
  </si>
  <si>
    <t>=IF(O78=0,0,P78/O78)</t>
  </si>
  <si>
    <t>=L78-Q78</t>
  </si>
  <si>
    <t>=W78</t>
  </si>
  <si>
    <t>=W79</t>
  </si>
  <si>
    <t>="SPEAKER"</t>
  </si>
  <si>
    <t>=C80</t>
  </si>
  <si>
    <t>="C100039"</t>
  </si>
  <si>
    <t>="C100040"</t>
  </si>
  <si>
    <t>=W83</t>
  </si>
  <si>
    <t>=C83</t>
  </si>
  <si>
    <t>="C100041"</t>
  </si>
  <si>
    <t>=IF(J84=0,0,K84/J84)</t>
  </si>
  <si>
    <t>=IF(O84=0,0,P84/O84)</t>
  </si>
  <si>
    <t>=L84-Q84</t>
  </si>
  <si>
    <t>=W84</t>
  </si>
  <si>
    <t>=W85</t>
  </si>
  <si>
    <t>=C86</t>
  </si>
  <si>
    <t>=W87</t>
  </si>
  <si>
    <t>="PLASTICBAG"</t>
  </si>
  <si>
    <t>=C88</t>
  </si>
  <si>
    <t>=J89-(I89*H89)</t>
  </si>
  <si>
    <t>=IF(J89=0,0,K89/J89)</t>
  </si>
  <si>
    <t>=O89-(N89*$H89)</t>
  </si>
  <si>
    <t>=IF(O89=0,0,P89/O89)</t>
  </si>
  <si>
    <t>=I89-N89</t>
  </si>
  <si>
    <t>=J89-O89</t>
  </si>
  <si>
    <t>=K89-P89</t>
  </si>
  <si>
    <t>=L89-Q89</t>
  </si>
  <si>
    <t>=W89</t>
  </si>
  <si>
    <t>=C89</t>
  </si>
  <si>
    <t>="E100007"</t>
  </si>
  <si>
    <t>=J90-(I90*H90)</t>
  </si>
  <si>
    <t>=IF(J90=0,0,K90/J90)</t>
  </si>
  <si>
    <t>=O90-(N90*$H90)</t>
  </si>
  <si>
    <t>=IF(O90=0,0,P90/O90)</t>
  </si>
  <si>
    <t>=I90-N90</t>
  </si>
  <si>
    <t>=J90-O90</t>
  </si>
  <si>
    <t>=K90-P90</t>
  </si>
  <si>
    <t>=L90-Q90</t>
  </si>
  <si>
    <t>=W90</t>
  </si>
  <si>
    <t>=C90</t>
  </si>
  <si>
    <t>="E100008"</t>
  </si>
  <si>
    <t>=J91-(I91*H91)</t>
  </si>
  <si>
    <t>=IF(J91=0,0,K91/J91)</t>
  </si>
  <si>
    <t>=O91-(N91*$H91)</t>
  </si>
  <si>
    <t>=IF(O91=0,0,P91/O91)</t>
  </si>
  <si>
    <t>=I91-N91</t>
  </si>
  <si>
    <t>=J91-O91</t>
  </si>
  <si>
    <t>=K91-P91</t>
  </si>
  <si>
    <t>=L91-Q91</t>
  </si>
  <si>
    <t>=W91</t>
  </si>
  <si>
    <t>="E100009"</t>
  </si>
  <si>
    <t>=W92</t>
  </si>
  <si>
    <t>=C92</t>
  </si>
  <si>
    <t>="E100010"</t>
  </si>
  <si>
    <t>=IF(J93=0,0,K93/J93)</t>
  </si>
  <si>
    <t>=IF(O93=0,0,P93/O93)</t>
  </si>
  <si>
    <t>=L93-Q93</t>
  </si>
  <si>
    <t>=W93</t>
  </si>
  <si>
    <t>=W94</t>
  </si>
  <si>
    <t>=C95</t>
  </si>
  <si>
    <t>=W96</t>
  </si>
  <si>
    <t>=C97</t>
  </si>
  <si>
    <t>=J98-(I98*H98)</t>
  </si>
  <si>
    <t>=IF(J98=0,0,K98/J98)</t>
  </si>
  <si>
    <t>=O98-(N98*$H98)</t>
  </si>
  <si>
    <t>=IF(O98=0,0,P98/O98)</t>
  </si>
  <si>
    <t>=I98-N98</t>
  </si>
  <si>
    <t>=J98-O98</t>
  </si>
  <si>
    <t>=K98-P98</t>
  </si>
  <si>
    <t>=L98-Q98</t>
  </si>
  <si>
    <t>=W98</t>
  </si>
  <si>
    <t>=C98</t>
  </si>
  <si>
    <t>=W99</t>
  </si>
  <si>
    <t>=C99</t>
  </si>
  <si>
    <t>=IF(J100=0,0,K100/J100)</t>
  </si>
  <si>
    <t>=IF(O100=0,0,P100/O100)</t>
  </si>
  <si>
    <t>=L100-Q100</t>
  </si>
  <si>
    <t>=W100</t>
  </si>
  <si>
    <t>=W101</t>
  </si>
  <si>
    <t>="MUG"</t>
  </si>
  <si>
    <t>=C102</t>
  </si>
  <si>
    <t>=W103</t>
  </si>
  <si>
    <t>="C100062"</t>
  </si>
  <si>
    <t>="C100063"</t>
  </si>
  <si>
    <t>=C105</t>
  </si>
  <si>
    <t>="E100039"</t>
  </si>
  <si>
    <t>=J106-(I106*H106)</t>
  </si>
  <si>
    <t>=IF(J106=0,0,K106/J106)</t>
  </si>
  <si>
    <t>=O106-(N106*$H106)</t>
  </si>
  <si>
    <t>=IF(O106=0,0,P106/O106)</t>
  </si>
  <si>
    <t>=I106-N106</t>
  </si>
  <si>
    <t>=J106-O106</t>
  </si>
  <si>
    <t>=K106-P106</t>
  </si>
  <si>
    <t>=L106-Q106</t>
  </si>
  <si>
    <t>=W106</t>
  </si>
  <si>
    <t>=C106</t>
  </si>
  <si>
    <t>="E100040"</t>
  </si>
  <si>
    <t>=J107-(I107*H107)</t>
  </si>
  <si>
    <t>=IF(J107=0,0,K107/J107)</t>
  </si>
  <si>
    <t>=O107-(N107*$H107)</t>
  </si>
  <si>
    <t>=IF(O107=0,0,P107/O107)</t>
  </si>
  <si>
    <t>=I107-N107</t>
  </si>
  <si>
    <t>=J107-O107</t>
  </si>
  <si>
    <t>=K107-P107</t>
  </si>
  <si>
    <t>=L107-Q107</t>
  </si>
  <si>
    <t>=W107</t>
  </si>
  <si>
    <t>=W108</t>
  </si>
  <si>
    <t>=W109</t>
  </si>
  <si>
    <t>=C109</t>
  </si>
  <si>
    <t>=W110</t>
  </si>
  <si>
    <t>="MP3"</t>
  </si>
  <si>
    <t>=C112</t>
  </si>
  <si>
    <t>="C100047"</t>
  </si>
  <si>
    <t>="C100048"</t>
  </si>
  <si>
    <t>=C114</t>
  </si>
  <si>
    <t>="C100049"</t>
  </si>
  <si>
    <t>=IF(J115=0,0,K115/J115)</t>
  </si>
  <si>
    <t>=IF(O115=0,0,P115/O115)</t>
  </si>
  <si>
    <t>=L115-Q115</t>
  </si>
  <si>
    <t>=W115</t>
  </si>
  <si>
    <t>=C115</t>
  </si>
  <si>
    <t>="C100050"</t>
  </si>
  <si>
    <t>=W116</t>
  </si>
  <si>
    <t>=C117</t>
  </si>
  <si>
    <t>=IF(J118=0,0,K118/J118)</t>
  </si>
  <si>
    <t>=IF(O118=0,0,P118/O118)</t>
  </si>
  <si>
    <t>=L118-Q118</t>
  </si>
  <si>
    <t>=W118</t>
  </si>
  <si>
    <t>=C118</t>
  </si>
  <si>
    <t>=W119</t>
  </si>
  <si>
    <t>="KNIT"</t>
  </si>
  <si>
    <t>=C120</t>
  </si>
  <si>
    <t>=IF(J121=0,0,K121/J121)</t>
  </si>
  <si>
    <t>=IF(O121=0,0,P121/O121)</t>
  </si>
  <si>
    <t>=L121-Q121</t>
  </si>
  <si>
    <t>=W121</t>
  </si>
  <si>
    <t>=C121</t>
  </si>
  <si>
    <t>="C100024"</t>
  </si>
  <si>
    <t>="C100025"</t>
  </si>
  <si>
    <t>=C123</t>
  </si>
  <si>
    <t>="C100026"</t>
  </si>
  <si>
    <t>=IF(J124=0,0,K124/J124)</t>
  </si>
  <si>
    <t>=IF(O124=0,0,P124/O124)</t>
  </si>
  <si>
    <t>=L124-Q124</t>
  </si>
  <si>
    <t>=W124</t>
  </si>
  <si>
    <t>=C124</t>
  </si>
  <si>
    <t>="S100014"</t>
  </si>
  <si>
    <t>=W125</t>
  </si>
  <si>
    <t>=C126</t>
  </si>
  <si>
    <t>=IF(J127=0,0,K127/J127)</t>
  </si>
  <si>
    <t>=IF(O127=0,0,P127/O127)</t>
  </si>
  <si>
    <t>=L127-Q127</t>
  </si>
  <si>
    <t>=W127</t>
  </si>
  <si>
    <t>=C127</t>
  </si>
  <si>
    <t>=W128</t>
  </si>
  <si>
    <t>="HEADPHONE"</t>
  </si>
  <si>
    <t>=C129</t>
  </si>
  <si>
    <t>=W130</t>
  </si>
  <si>
    <t>="C100043"</t>
  </si>
  <si>
    <t>="C100044"</t>
  </si>
  <si>
    <t>=C132</t>
  </si>
  <si>
    <t>="C100045"</t>
  </si>
  <si>
    <t>=J133-(I133*H133)</t>
  </si>
  <si>
    <t>=IF(J133=0,0,K133/J133)</t>
  </si>
  <si>
    <t>=O133-(N133*$H133)</t>
  </si>
  <si>
    <t>=IF(O133=0,0,P133/O133)</t>
  </si>
  <si>
    <t>=I133-N133</t>
  </si>
  <si>
    <t>=J133-O133</t>
  </si>
  <si>
    <t>=K133-P133</t>
  </si>
  <si>
    <t>=L133-Q133</t>
  </si>
  <si>
    <t>=W133</t>
  </si>
  <si>
    <t>=C133</t>
  </si>
  <si>
    <t>="E100023"</t>
  </si>
  <si>
    <t>=J134-(I134*H134)</t>
  </si>
  <si>
    <t>=IF(J134=0,0,K134/J134)</t>
  </si>
  <si>
    <t>=O134-(N134*$H134)</t>
  </si>
  <si>
    <t>=IF(O134=0,0,P134/O134)</t>
  </si>
  <si>
    <t>=I134-N134</t>
  </si>
  <si>
    <t>=J134-O134</t>
  </si>
  <si>
    <t>=K134-P134</t>
  </si>
  <si>
    <t>=L134-Q134</t>
  </si>
  <si>
    <t>=W134</t>
  </si>
  <si>
    <t>=W135</t>
  </si>
  <si>
    <t>=C135</t>
  </si>
  <si>
    <t>=IF(J136=0,0,K136/J136)</t>
  </si>
  <si>
    <t>=IF(O136=0,0,P136/O136)</t>
  </si>
  <si>
    <t>=L136-Q136</t>
  </si>
  <si>
    <t>=W136</t>
  </si>
  <si>
    <t>=W137</t>
  </si>
  <si>
    <t>="GLASS"</t>
  </si>
  <si>
    <t>=C138</t>
  </si>
  <si>
    <t>=W139</t>
  </si>
  <si>
    <t>="E100044"</t>
  </si>
  <si>
    <t>="E100045"</t>
  </si>
  <si>
    <t>=C141</t>
  </si>
  <si>
    <t>="E100046"</t>
  </si>
  <si>
    <t>=J142-(I142*H142)</t>
  </si>
  <si>
    <t>=IF(J142=0,0,K142/J142)</t>
  </si>
  <si>
    <t>=O142-(N142*$H142)</t>
  </si>
  <si>
    <t>=IF(O142=0,0,P142/O142)</t>
  </si>
  <si>
    <t>=I142-N142</t>
  </si>
  <si>
    <t>=J142-O142</t>
  </si>
  <si>
    <t>=K142-P142</t>
  </si>
  <si>
    <t>=L142-Q142</t>
  </si>
  <si>
    <t>=W142</t>
  </si>
  <si>
    <t>=C142</t>
  </si>
  <si>
    <t>="E100047"</t>
  </si>
  <si>
    <t>=J143-(I143*H143)</t>
  </si>
  <si>
    <t>=IF(J143=0,0,K143/J143)</t>
  </si>
  <si>
    <t>=O143-(N143*$H143)</t>
  </si>
  <si>
    <t>=IF(O143=0,0,P143/O143)</t>
  </si>
  <si>
    <t>=I143-N143</t>
  </si>
  <si>
    <t>=J143-O143</t>
  </si>
  <si>
    <t>=K143-P143</t>
  </si>
  <si>
    <t>=L143-Q143</t>
  </si>
  <si>
    <t>=W143</t>
  </si>
  <si>
    <t>=W144</t>
  </si>
  <si>
    <t>=C144</t>
  </si>
  <si>
    <t>=IF(J145=0,0,K145/J145)</t>
  </si>
  <si>
    <t>=IF(O145=0,0,P145/O145)</t>
  </si>
  <si>
    <t>=L145-Q145</t>
  </si>
  <si>
    <t>=W145</t>
  </si>
  <si>
    <t>=W146</t>
  </si>
  <si>
    <t>="FRAMES"</t>
  </si>
  <si>
    <t>=C147</t>
  </si>
  <si>
    <t>=W148</t>
  </si>
  <si>
    <t>="C100052"</t>
  </si>
  <si>
    <t>="C100053"</t>
  </si>
  <si>
    <t>=C150</t>
  </si>
  <si>
    <t>="C100054"</t>
  </si>
  <si>
    <t>=J151-(I151*H151)</t>
  </si>
  <si>
    <t>=IF(J151=0,0,K151/J151)</t>
  </si>
  <si>
    <t>=O151-(N151*$H151)</t>
  </si>
  <si>
    <t>=IF(O151=0,0,P151/O151)</t>
  </si>
  <si>
    <t>=I151-N151</t>
  </si>
  <si>
    <t>=J151-O151</t>
  </si>
  <si>
    <t>=K151-P151</t>
  </si>
  <si>
    <t>=L151-Q151</t>
  </si>
  <si>
    <t>=W151</t>
  </si>
  <si>
    <t>=C151</t>
  </si>
  <si>
    <t>="C100055"</t>
  </si>
  <si>
    <t>=J152-(I152*H152)</t>
  </si>
  <si>
    <t>=IF(J152=0,0,K152/J152)</t>
  </si>
  <si>
    <t>=O152-(N152*$H152)</t>
  </si>
  <si>
    <t>=IF(O152=0,0,P152/O152)</t>
  </si>
  <si>
    <t>=I152-N152</t>
  </si>
  <si>
    <t>=J152-O152</t>
  </si>
  <si>
    <t>=K152-P152</t>
  </si>
  <si>
    <t>=L152-Q152</t>
  </si>
  <si>
    <t>=W152</t>
  </si>
  <si>
    <t>=W153</t>
  </si>
  <si>
    <t>=C153</t>
  </si>
  <si>
    <t>=IF(J154=0,0,K154/J154)</t>
  </si>
  <si>
    <t>=IF(O154=0,0,P154/O154)</t>
  </si>
  <si>
    <t>=L154-Q154</t>
  </si>
  <si>
    <t>=W154</t>
  </si>
  <si>
    <t>=W155</t>
  </si>
  <si>
    <t>="FLASHLIGHT"</t>
  </si>
  <si>
    <t>=C156</t>
  </si>
  <si>
    <t>=W157</t>
  </si>
  <si>
    <t>="E100030"</t>
  </si>
  <si>
    <t>="E100031"</t>
  </si>
  <si>
    <t>=C159</t>
  </si>
  <si>
    <t>="E100032"</t>
  </si>
  <si>
    <t>=W160</t>
  </si>
  <si>
    <t>=C160</t>
  </si>
  <si>
    <t>="E100033"</t>
  </si>
  <si>
    <t>=IF(J161=0,0,K161/J161)</t>
  </si>
  <si>
    <t>=IF(O161=0,0,P161/O161)</t>
  </si>
  <si>
    <t>=L161-Q161</t>
  </si>
  <si>
    <t>=W161</t>
  </si>
  <si>
    <t>=W162</t>
  </si>
  <si>
    <t>=C163</t>
  </si>
  <si>
    <t>=W164</t>
  </si>
  <si>
    <t>="EMBLEM"</t>
  </si>
  <si>
    <t>=C165</t>
  </si>
  <si>
    <t>=IF(J166=0,0,K166/J166)</t>
  </si>
  <si>
    <t>=IF(O166=0,0,P166/O166)</t>
  </si>
  <si>
    <t>=L166-Q166</t>
  </si>
  <si>
    <t>=W166</t>
  </si>
  <si>
    <t>=C166</t>
  </si>
  <si>
    <t>="C100003"</t>
  </si>
  <si>
    <t>="C100004"</t>
  </si>
  <si>
    <t>="C100005"</t>
  </si>
  <si>
    <t>=W169</t>
  </si>
  <si>
    <t>=C169</t>
  </si>
  <si>
    <t>="C100006"</t>
  </si>
  <si>
    <t>=IF(J170=0,0,K170/J170)</t>
  </si>
  <si>
    <t>=IF(O170=0,0,P170/O170)</t>
  </si>
  <si>
    <t>=L170-Q170</t>
  </si>
  <si>
    <t>=W170</t>
  </si>
  <si>
    <t>=C170</t>
  </si>
  <si>
    <t>="C100007"</t>
  </si>
  <si>
    <t>=W171</t>
  </si>
  <si>
    <t>="C100008"</t>
  </si>
  <si>
    <t>=C172</t>
  </si>
  <si>
    <t>="C100009"</t>
  </si>
  <si>
    <t>=J173-(I173*H173)</t>
  </si>
  <si>
    <t>=IF(J173=0,0,K173/J173)</t>
  </si>
  <si>
    <t>=O173-(N173*$H173)</t>
  </si>
  <si>
    <t>=IF(O173=0,0,P173/O173)</t>
  </si>
  <si>
    <t>=I173-N173</t>
  </si>
  <si>
    <t>=J173-O173</t>
  </si>
  <si>
    <t>=K173-P173</t>
  </si>
  <si>
    <t>=L173-Q173</t>
  </si>
  <si>
    <t>=W173</t>
  </si>
  <si>
    <t>="C100010"</t>
  </si>
  <si>
    <t>=W174</t>
  </si>
  <si>
    <t>=C174</t>
  </si>
  <si>
    <t>="C100011"</t>
  </si>
  <si>
    <t>=IF(J175=0,0,K175/J175)</t>
  </si>
  <si>
    <t>=IF(O175=0,0,P175/O175)</t>
  </si>
  <si>
    <t>=L175-Q175</t>
  </si>
  <si>
    <t>=W175</t>
  </si>
  <si>
    <t>=C175</t>
  </si>
  <si>
    <t>="S100001"</t>
  </si>
  <si>
    <t>="S100002"</t>
  </si>
  <si>
    <t>="S100003"</t>
  </si>
  <si>
    <t>=W178</t>
  </si>
  <si>
    <t>=C178</t>
  </si>
  <si>
    <t>="S100004"</t>
  </si>
  <si>
    <t>=IF(J179=0,0,K179/J179)</t>
  </si>
  <si>
    <t>=IF(O179=0,0,P179/O179)</t>
  </si>
  <si>
    <t>=L179-Q179</t>
  </si>
  <si>
    <t>=W179</t>
  </si>
  <si>
    <t>=C179</t>
  </si>
  <si>
    <t>="S100005"</t>
  </si>
  <si>
    <t>=W180</t>
  </si>
  <si>
    <t>="S100006"</t>
  </si>
  <si>
    <t>="S100007"</t>
  </si>
  <si>
    <t>=W182</t>
  </si>
  <si>
    <t>=C182</t>
  </si>
  <si>
    <t>="S100008"</t>
  </si>
  <si>
    <t>=IF(J183=0,0,K183/J183)</t>
  </si>
  <si>
    <t>=IF(O183=0,0,P183/O183)</t>
  </si>
  <si>
    <t>=L183-Q183</t>
  </si>
  <si>
    <t>=W183</t>
  </si>
  <si>
    <t>=C183</t>
  </si>
  <si>
    <t>="S100009"</t>
  </si>
  <si>
    <t>=C185</t>
  </si>
  <si>
    <t>=IF(J186=0,0,K186/J186)</t>
  </si>
  <si>
    <t>=IF(O186=0,0,P186/O186)</t>
  </si>
  <si>
    <t>=L186-Q186</t>
  </si>
  <si>
    <t>=W186</t>
  </si>
  <si>
    <t>=W187</t>
  </si>
  <si>
    <t>="DESK CLOCK"</t>
  </si>
  <si>
    <t>=C188</t>
  </si>
  <si>
    <t>=W189</t>
  </si>
  <si>
    <t>="C100034"</t>
  </si>
  <si>
    <t>="C100035"</t>
  </si>
  <si>
    <t>=W191</t>
  </si>
  <si>
    <t>=C191</t>
  </si>
  <si>
    <t>="C100036"</t>
  </si>
  <si>
    <t>=IF(J192=0,0,K192/J192)</t>
  </si>
  <si>
    <t>=IF(O192=0,0,P192/O192)</t>
  </si>
  <si>
    <t>=L192-Q192</t>
  </si>
  <si>
    <t>=W192</t>
  </si>
  <si>
    <t>=C192</t>
  </si>
  <si>
    <t>="E100018"</t>
  </si>
  <si>
    <t>=C194</t>
  </si>
  <si>
    <t>=IF(J195=0,0,K195/J195)</t>
  </si>
  <si>
    <t>=IF(O195=0,0,P195/O195)</t>
  </si>
  <si>
    <t>=L195-Q195</t>
  </si>
  <si>
    <t>=W195</t>
  </si>
  <si>
    <t>=W196</t>
  </si>
  <si>
    <t>="COMPUTER"</t>
  </si>
  <si>
    <t>=C197</t>
  </si>
  <si>
    <t>=W198</t>
  </si>
  <si>
    <t>=W200</t>
  </si>
  <si>
    <t>=C200</t>
  </si>
  <si>
    <t>=W201</t>
  </si>
  <si>
    <t>="CLIPON"</t>
  </si>
  <si>
    <t>=C203</t>
  </si>
  <si>
    <t>="C100032"</t>
  </si>
  <si>
    <t>=J204-(I204*H204)</t>
  </si>
  <si>
    <t>=IF(J204=0,0,K204/J204)</t>
  </si>
  <si>
    <t>=O204-(N204*$H204)</t>
  </si>
  <si>
    <t>=IF(O204=0,0,P204/O204)</t>
  </si>
  <si>
    <t>=I204-N204</t>
  </si>
  <si>
    <t>=J204-O204</t>
  </si>
  <si>
    <t>=K204-P204</t>
  </si>
  <si>
    <t>=L204-Q204</t>
  </si>
  <si>
    <t>=W204</t>
  </si>
  <si>
    <t>=C204</t>
  </si>
  <si>
    <t>="E100015"</t>
  </si>
  <si>
    <t>=J205-(I205*H205)</t>
  </si>
  <si>
    <t>=IF(J205=0,0,K205/J205)</t>
  </si>
  <si>
    <t>=O205-(N205*$H205)</t>
  </si>
  <si>
    <t>=IF(O205=0,0,P205/O205)</t>
  </si>
  <si>
    <t>=I205-N205</t>
  </si>
  <si>
    <t>=J205-O205</t>
  </si>
  <si>
    <t>=K205-P205</t>
  </si>
  <si>
    <t>=L205-Q205</t>
  </si>
  <si>
    <t>=W205</t>
  </si>
  <si>
    <t>=C205</t>
  </si>
  <si>
    <t>="E100016"</t>
  </si>
  <si>
    <t>=J206-(I206*H206)</t>
  </si>
  <si>
    <t>=IF(J206=0,0,K206/J206)</t>
  </si>
  <si>
    <t>=O206-(N206*$H206)</t>
  </si>
  <si>
    <t>=IF(O206=0,0,P206/O206)</t>
  </si>
  <si>
    <t>=I206-N206</t>
  </si>
  <si>
    <t>=J206-O206</t>
  </si>
  <si>
    <t>=K206-P206</t>
  </si>
  <si>
    <t>=L206-Q206</t>
  </si>
  <si>
    <t>=W206</t>
  </si>
  <si>
    <t>=C206</t>
  </si>
  <si>
    <t>="E100017"</t>
  </si>
  <si>
    <t>=J207-(I207*H207)</t>
  </si>
  <si>
    <t>=IF(J207=0,0,K207/J207)</t>
  </si>
  <si>
    <t>=O207-(N207*$H207)</t>
  </si>
  <si>
    <t>=IF(O207=0,0,P207/O207)</t>
  </si>
  <si>
    <t>=I207-N207</t>
  </si>
  <si>
    <t>=J207-O207</t>
  </si>
  <si>
    <t>=K207-P207</t>
  </si>
  <si>
    <t>=L207-Q207</t>
  </si>
  <si>
    <t>=W207</t>
  </si>
  <si>
    <t>=W208</t>
  </si>
  <si>
    <t>=W209</t>
  </si>
  <si>
    <t>=C209</t>
  </si>
  <si>
    <t>=W210</t>
  </si>
  <si>
    <t>="CALCULATOR"</t>
  </si>
  <si>
    <t>=C212</t>
  </si>
  <si>
    <t>="E100024"</t>
  </si>
  <si>
    <t>=J213-(I213*H213)</t>
  </si>
  <si>
    <t>=IF(J213=0,0,K213/J213)</t>
  </si>
  <si>
    <t>=O213-(N213*$H213)</t>
  </si>
  <si>
    <t>=IF(O213=0,0,P213/O213)</t>
  </si>
  <si>
    <t>=I213-N213</t>
  </si>
  <si>
    <t>=J213-O213</t>
  </si>
  <si>
    <t>=K213-P213</t>
  </si>
  <si>
    <t>=L213-Q213</t>
  </si>
  <si>
    <t>=W213</t>
  </si>
  <si>
    <t>=C213</t>
  </si>
  <si>
    <t>="E100025"</t>
  </si>
  <si>
    <t>=J214-(I214*H214)</t>
  </si>
  <si>
    <t>=IF(J214=0,0,K214/J214)</t>
  </si>
  <si>
    <t>=O214-(N214*$H214)</t>
  </si>
  <si>
    <t>=IF(O214=0,0,P214/O214)</t>
  </si>
  <si>
    <t>=I214-N214</t>
  </si>
  <si>
    <t>=J214-O214</t>
  </si>
  <si>
    <t>=K214-P214</t>
  </si>
  <si>
    <t>=L214-Q214</t>
  </si>
  <si>
    <t>=W214</t>
  </si>
  <si>
    <t>=C214</t>
  </si>
  <si>
    <t>="E100026"</t>
  </si>
  <si>
    <t>=J215-(I215*H215)</t>
  </si>
  <si>
    <t>=IF(J215=0,0,K215/J215)</t>
  </si>
  <si>
    <t>=O215-(N215*$H215)</t>
  </si>
  <si>
    <t>=IF(O215=0,0,P215/O215)</t>
  </si>
  <si>
    <t>=I215-N215</t>
  </si>
  <si>
    <t>=J215-O215</t>
  </si>
  <si>
    <t>=K215-P215</t>
  </si>
  <si>
    <t>=L215-Q215</t>
  </si>
  <si>
    <t>=W215</t>
  </si>
  <si>
    <t>=C215</t>
  </si>
  <si>
    <t>="E100027"</t>
  </si>
  <si>
    <t>=J216-(I216*H216)</t>
  </si>
  <si>
    <t>=IF(J216=0,0,K216/J216)</t>
  </si>
  <si>
    <t>=O216-(N216*$H216)</t>
  </si>
  <si>
    <t>=IF(O216=0,0,P216/O216)</t>
  </si>
  <si>
    <t>=I216-N216</t>
  </si>
  <si>
    <t>=J216-O216</t>
  </si>
  <si>
    <t>=K216-P216</t>
  </si>
  <si>
    <t>=L216-Q216</t>
  </si>
  <si>
    <t>=W216</t>
  </si>
  <si>
    <t>=W217</t>
  </si>
  <si>
    <t>=C217</t>
  </si>
  <si>
    <t>=IF(J218=0,0,K218/J218)</t>
  </si>
  <si>
    <t>=IF(O218=0,0,P218/O218)</t>
  </si>
  <si>
    <t>=L218-Q218</t>
  </si>
  <si>
    <t>=W218</t>
  </si>
  <si>
    <t>=W219</t>
  </si>
  <si>
    <t>="BUS. BAG"</t>
  </si>
  <si>
    <t>=C220</t>
  </si>
  <si>
    <t>=W221</t>
  </si>
  <si>
    <t>=C222</t>
  </si>
  <si>
    <t>=IF(J223=0,0,K223/J223)</t>
  </si>
  <si>
    <t>=IF(O223=0,0,P223/O223)</t>
  </si>
  <si>
    <t>=L223-Q223</t>
  </si>
  <si>
    <t>=W223</t>
  </si>
  <si>
    <t>=C223</t>
  </si>
  <si>
    <t>=W224</t>
  </si>
  <si>
    <t>="BUCKET HAT"</t>
  </si>
  <si>
    <t>=C225</t>
  </si>
  <si>
    <t>=J226-(I226*H226)</t>
  </si>
  <si>
    <t>=IF(J226=0,0,K226/J226)</t>
  </si>
  <si>
    <t>=O226-(N226*$H226)</t>
  </si>
  <si>
    <t>=IF(O226=0,0,P226/O226)</t>
  </si>
  <si>
    <t>=I226-N226</t>
  </si>
  <si>
    <t>=J226-O226</t>
  </si>
  <si>
    <t>=K226-P226</t>
  </si>
  <si>
    <t>=L226-Q226</t>
  </si>
  <si>
    <t>=W226</t>
  </si>
  <si>
    <t>=C226</t>
  </si>
  <si>
    <t>="S100016"</t>
  </si>
  <si>
    <t>=J227-(I227*H227)</t>
  </si>
  <si>
    <t>=IF(J227=0,0,K227/J227)</t>
  </si>
  <si>
    <t>=O227-(N227*$H227)</t>
  </si>
  <si>
    <t>=IF(O227=0,0,P227/O227)</t>
  </si>
  <si>
    <t>=I227-N227</t>
  </si>
  <si>
    <t>=J227-O227</t>
  </si>
  <si>
    <t>=K227-P227</t>
  </si>
  <si>
    <t>=L227-Q227</t>
  </si>
  <si>
    <t>=W227</t>
  </si>
  <si>
    <t>="S100017"</t>
  </si>
  <si>
    <t>=W228</t>
  </si>
  <si>
    <t>=C228</t>
  </si>
  <si>
    <t>="S100018"</t>
  </si>
  <si>
    <t>=IF(J229=0,0,K229/J229)</t>
  </si>
  <si>
    <t>=IF(O229=0,0,P229/O229)</t>
  </si>
  <si>
    <t>=L229-Q229</t>
  </si>
  <si>
    <t>=W229</t>
  </si>
  <si>
    <t>=C229</t>
  </si>
  <si>
    <t>="S100019"</t>
  </si>
  <si>
    <t>=W230</t>
  </si>
  <si>
    <t>=C231</t>
  </si>
  <si>
    <t>=IF(J232=0,0,K232/J232)</t>
  </si>
  <si>
    <t>=IF(O232=0,0,P232/O232)</t>
  </si>
  <si>
    <t>=L232-Q232</t>
  </si>
  <si>
    <t>=W232</t>
  </si>
  <si>
    <t>=W233</t>
  </si>
  <si>
    <t>="BALL CAP"</t>
  </si>
  <si>
    <t>=C234</t>
  </si>
  <si>
    <t>="S100010"</t>
  </si>
  <si>
    <t>=C236</t>
  </si>
  <si>
    <t>="S100011"</t>
  </si>
  <si>
    <t>=J237-(I237*H237)</t>
  </si>
  <si>
    <t>=IF(J237=0,0,K237/J237)</t>
  </si>
  <si>
    <t>=O237-(N237*$H237)</t>
  </si>
  <si>
    <t>=IF(O237=0,0,P237/O237)</t>
  </si>
  <si>
    <t>=I237-N237</t>
  </si>
  <si>
    <t>=J237-O237</t>
  </si>
  <si>
    <t>=K237-P237</t>
  </si>
  <si>
    <t>=L237-Q237</t>
  </si>
  <si>
    <t>=W237</t>
  </si>
  <si>
    <t>=C237</t>
  </si>
  <si>
    <t>="S100012"</t>
  </si>
  <si>
    <t>=J238-(I238*H238)</t>
  </si>
  <si>
    <t>=IF(J238=0,0,K238/J238)</t>
  </si>
  <si>
    <t>=O238-(N238*$H238)</t>
  </si>
  <si>
    <t>=IF(O238=0,0,P238/O238)</t>
  </si>
  <si>
    <t>=I238-N238</t>
  </si>
  <si>
    <t>=J238-O238</t>
  </si>
  <si>
    <t>=K238-P238</t>
  </si>
  <si>
    <t>=L238-Q238</t>
  </si>
  <si>
    <t>=W238</t>
  </si>
  <si>
    <t>=C238</t>
  </si>
  <si>
    <t>="S100013"</t>
  </si>
  <si>
    <t>=J239-(I239*H239)</t>
  </si>
  <si>
    <t>=IF(J239=0,0,K239/J239)</t>
  </si>
  <si>
    <t>=O239-(N239*$H239)</t>
  </si>
  <si>
    <t>=IF(O239=0,0,P239/O239)</t>
  </si>
  <si>
    <t>=I239-N239</t>
  </si>
  <si>
    <t>=J239-O239</t>
  </si>
  <si>
    <t>=K239-P239</t>
  </si>
  <si>
    <t>=L239-Q239</t>
  </si>
  <si>
    <t>=W239</t>
  </si>
  <si>
    <t>=W240</t>
  </si>
  <si>
    <t>=C240</t>
  </si>
  <si>
    <t>=IF(J241=0,0,K241/J241)</t>
  </si>
  <si>
    <t>=IF(O241=0,0,P241/O241)</t>
  </si>
  <si>
    <t>=L241-Q241</t>
  </si>
  <si>
    <t>=W241</t>
  </si>
  <si>
    <t>=W242</t>
  </si>
  <si>
    <t>=IF(J243=0,0,K243/J243)</t>
  </si>
  <si>
    <t>=IF(O243=0,0,P243/O243)</t>
  </si>
  <si>
    <t>=L243-Q243</t>
  </si>
  <si>
    <t>=W243</t>
  </si>
  <si>
    <t>Questions About This Report</t>
  </si>
  <si>
    <t>Click here to contact sample reports</t>
  </si>
  <si>
    <t>Click here for downloads</t>
  </si>
  <si>
    <t>Enter a date using the date format used in your NAV instance</t>
  </si>
  <si>
    <t>Tooltip</t>
  </si>
  <si>
    <t>=NL("Lookup","27 Item","91 Gen. Prod. Posting Group")</t>
  </si>
  <si>
    <t>=NL("Lookup","27 Item","5704 Product Group Code")</t>
  </si>
  <si>
    <t>=NL("Lookup","27 Item",{"1 No.","3 Description"},"91 Gen. Prod. Posting Group",Genprodpostinggroup,"5704 Product Group Code",Productgroupcode)</t>
  </si>
  <si>
    <t>=NL("Rows","27 Item","1 No.","5704 Product Group Code","@@"&amp;C13,"1 No.",$F$6,"78 Sales (LCY)","&lt;&gt;0")</t>
  </si>
  <si>
    <t>=NL("First","27 Item","3 Description","1 No.","@@"&amp;$F13)</t>
  </si>
  <si>
    <t>=NL("First","27 Item","22 Unit Cost","1 No.","@@"&amp;$F13)</t>
  </si>
  <si>
    <t>=-NL("Sum","5802 Value Entry","14 Invoiced Quantity","41 Source Type","Customer","4 Item Ledger Entry Type","Sale","2 Item No.","@@"&amp;$F13,"3 Posting Date",I$8,"58 Gen. Prod. Posting Group",$F$7)</t>
  </si>
  <si>
    <t>=NL("Sum","5802 Value Entry","17 Sales Amount (Actual)","41 Source Type","Customer","4 Item Ledger Entry Type","Sale","2 Item No.","@@"&amp;$F13,"3 Posting Date",I$8,"58 Gen. Prod. Posting Group",$F$7)</t>
  </si>
  <si>
    <t>=-NL("Sum","5802 Value Entry","14 Invoiced Quantity","41 Source Type","Customer","4 Item Ledger Entry Type","Sale","2 Item No.","@@"&amp;$F13,"3 Posting Date",N$8,"58 Gen. Prod. Posting Group",$F$7)</t>
  </si>
  <si>
    <t>=NL("Sum","5802 Value Entry","17 Sales Amount (Actual)","41 Source Type","Customer","4 Item Ledger Entry Type","Sale","2 Item No.","@@"&amp;$F13,"3 Posting Date",N$8,"58 Gen. Prod. Posting Group",$F$7)</t>
  </si>
  <si>
    <t>="S-TROPHY"</t>
  </si>
  <si>
    <t>="S200007"</t>
  </si>
  <si>
    <t>="S200008"</t>
  </si>
  <si>
    <t>="S200009"</t>
  </si>
  <si>
    <t>="S200010"</t>
  </si>
  <si>
    <t>="S200013"</t>
  </si>
  <si>
    <t>="S200014"</t>
  </si>
  <si>
    <t>=J60-(I60*H60)</t>
  </si>
  <si>
    <t>=O60-(N60*$H60)</t>
  </si>
  <si>
    <t>=I60-N60</t>
  </si>
  <si>
    <t>=J60-O60</t>
  </si>
  <si>
    <t>=K60-P60</t>
  </si>
  <si>
    <t>="S200015"</t>
  </si>
  <si>
    <t>=J61-(I61*H61)</t>
  </si>
  <si>
    <t>=IF(J61=0,0,K61/J61)</t>
  </si>
  <si>
    <t>=O61-(N61*$H61)</t>
  </si>
  <si>
    <t>=IF(O61=0,0,P61/O61)</t>
  </si>
  <si>
    <t>=I61-N61</t>
  </si>
  <si>
    <t>=J61-O61</t>
  </si>
  <si>
    <t>=K61-P61</t>
  </si>
  <si>
    <t>=L61-Q61</t>
  </si>
  <si>
    <t>=C61</t>
  </si>
  <si>
    <t>="S200016"</t>
  </si>
  <si>
    <t>=J62-(I62*H62)</t>
  </si>
  <si>
    <t>=IF(J62=0,0,K62/J62)</t>
  </si>
  <si>
    <t>=O62-(N62*$H62)</t>
  </si>
  <si>
    <t>=IF(O62=0,0,P62/O62)</t>
  </si>
  <si>
    <t>=I62-N62</t>
  </si>
  <si>
    <t>=J62-O62</t>
  </si>
  <si>
    <t>=K62-P62</t>
  </si>
  <si>
    <t>=L62-Q62</t>
  </si>
  <si>
    <t>=W62</t>
  </si>
  <si>
    <t>="S200017"</t>
  </si>
  <si>
    <t>="S200020"</t>
  </si>
  <si>
    <t>="S200021"</t>
  </si>
  <si>
    <t>="S200022"</t>
  </si>
  <si>
    <t>="S200023"</t>
  </si>
  <si>
    <t>="S200024"</t>
  </si>
  <si>
    <t>="S200027"</t>
  </si>
  <si>
    <t>=J69-(I69*H69)</t>
  </si>
  <si>
    <t>=O69-(N69*$H69)</t>
  </si>
  <si>
    <t>=I69-N69</t>
  </si>
  <si>
    <t>=J69-O69</t>
  </si>
  <si>
    <t>=K69-P69</t>
  </si>
  <si>
    <t>="S200028"</t>
  </si>
  <si>
    <t>=C70</t>
  </si>
  <si>
    <t>="S200029"</t>
  </si>
  <si>
    <t>=IF(J71=0,0,K71/J71)</t>
  </si>
  <si>
    <t>=IF(O71=0,0,P71/O71)</t>
  </si>
  <si>
    <t>=L71-Q71</t>
  </si>
  <si>
    <t>=W71</t>
  </si>
  <si>
    <t>="S200030"</t>
  </si>
  <si>
    <t>="S200031"</t>
  </si>
  <si>
    <t>=J78-(I78*H78)</t>
  </si>
  <si>
    <t>=O78-(N78*$H78)</t>
  </si>
  <si>
    <t>=I78-N78</t>
  </si>
  <si>
    <t>=J78-O78</t>
  </si>
  <si>
    <t>=K78-P78</t>
  </si>
  <si>
    <t>=C79</t>
  </si>
  <si>
    <t>=IF(J80=0,0,K80/J80)</t>
  </si>
  <si>
    <t>=IF(O80=0,0,P80/O80)</t>
  </si>
  <si>
    <t>=L80-Q80</t>
  </si>
  <si>
    <t>=W80</t>
  </si>
  <si>
    <t>=C84</t>
  </si>
  <si>
    <t>=J87-(I87*H87)</t>
  </si>
  <si>
    <t>=IF(J87=0,0,K87/J87)</t>
  </si>
  <si>
    <t>=O87-(N87*$H87)</t>
  </si>
  <si>
    <t>=IF(O87=0,0,P87/O87)</t>
  </si>
  <si>
    <t>=I87-N87</t>
  </si>
  <si>
    <t>=J87-O87</t>
  </si>
  <si>
    <t>=K87-P87</t>
  </si>
  <si>
    <t>=L87-Q87</t>
  </si>
  <si>
    <t>=C87</t>
  </si>
  <si>
    <t>=J88-(I88*H88)</t>
  </si>
  <si>
    <t>=IF(J88=0,0,K88/J88)</t>
  </si>
  <si>
    <t>=O88-(N88*$H88)</t>
  </si>
  <si>
    <t>=IF(O88=0,0,P88/O88)</t>
  </si>
  <si>
    <t>=I88-N88</t>
  </si>
  <si>
    <t>=J88-O88</t>
  </si>
  <si>
    <t>=K88-P88</t>
  </si>
  <si>
    <t>=L88-Q88</t>
  </si>
  <si>
    <t>=W88</t>
  </si>
  <si>
    <t>=C93</t>
  </si>
  <si>
    <t>=J96-(I96*H96)</t>
  </si>
  <si>
    <t>=IF(J96=0,0,K96/J96)</t>
  </si>
  <si>
    <t>=O96-(N96*$H96)</t>
  </si>
  <si>
    <t>=IF(O96=0,0,P96/O96)</t>
  </si>
  <si>
    <t>=I96-N96</t>
  </si>
  <si>
    <t>=J96-O96</t>
  </si>
  <si>
    <t>=K96-P96</t>
  </si>
  <si>
    <t>=L96-Q96</t>
  </si>
  <si>
    <t>=C96</t>
  </si>
  <si>
    <t>=J97-(I97*H97)</t>
  </si>
  <si>
    <t>=IF(J97=0,0,K97/J97)</t>
  </si>
  <si>
    <t>=O97-(N97*$H97)</t>
  </si>
  <si>
    <t>=IF(O97=0,0,P97/O97)</t>
  </si>
  <si>
    <t>=I97-N97</t>
  </si>
  <si>
    <t>=J97-O97</t>
  </si>
  <si>
    <t>=K97-P97</t>
  </si>
  <si>
    <t>=L97-Q97</t>
  </si>
  <si>
    <t>=W97</t>
  </si>
  <si>
    <t>=J99-(I99*H99)</t>
  </si>
  <si>
    <t>=IF(J99=0,0,K99/J99)</t>
  </si>
  <si>
    <t>=O99-(N99*$H99)</t>
  </si>
  <si>
    <t>=IF(O99=0,0,P99/O99)</t>
  </si>
  <si>
    <t>=I99-N99</t>
  </si>
  <si>
    <t>=J99-O99</t>
  </si>
  <si>
    <t>=K99-P99</t>
  </si>
  <si>
    <t>=L99-Q99</t>
  </si>
  <si>
    <t>=J100-(I100*H100)</t>
  </si>
  <si>
    <t>=O100-(N100*$H100)</t>
  </si>
  <si>
    <t>=I100-N100</t>
  </si>
  <si>
    <t>=J100-O100</t>
  </si>
  <si>
    <t>=K100-P100</t>
  </si>
  <si>
    <t>=W102</t>
  </si>
  <si>
    <t>=C107</t>
  </si>
  <si>
    <t>=J108-(I108*H108)</t>
  </si>
  <si>
    <t>=IF(J108=0,0,K108/J108)</t>
  </si>
  <si>
    <t>=O108-(N108*$H108)</t>
  </si>
  <si>
    <t>=IF(O108=0,0,P108/O108)</t>
  </si>
  <si>
    <t>=I108-N108</t>
  </si>
  <si>
    <t>=J108-O108</t>
  </si>
  <si>
    <t>=K108-P108</t>
  </si>
  <si>
    <t>=L108-Q108</t>
  </si>
  <si>
    <t>=IF(J110=0,0,K110/J110)</t>
  </si>
  <si>
    <t>=IF(O110=0,0,P110/O110)</t>
  </si>
  <si>
    <t>=L110-Q110</t>
  </si>
  <si>
    <t>=W111</t>
  </si>
  <si>
    <t>=J118-(I118*H118)</t>
  </si>
  <si>
    <t>=O118-(N118*$H118)</t>
  </si>
  <si>
    <t>=I118-N118</t>
  </si>
  <si>
    <t>=J118-O118</t>
  </si>
  <si>
    <t>=K118-P118</t>
  </si>
  <si>
    <t>=J119-(I119*H119)</t>
  </si>
  <si>
    <t>=IF(J119=0,0,K119/J119)</t>
  </si>
  <si>
    <t>=O119-(N119*$H119)</t>
  </si>
  <si>
    <t>=IF(O119=0,0,P119/O119)</t>
  </si>
  <si>
    <t>=I119-N119</t>
  </si>
  <si>
    <t>=J119-O119</t>
  </si>
  <si>
    <t>=K119-P119</t>
  </si>
  <si>
    <t>=L119-Q119</t>
  </si>
  <si>
    <t>=W120</t>
  </si>
  <si>
    <t>=NL("First","27 Item","3 Description","1 No.","@@"&amp;$F127)</t>
  </si>
  <si>
    <t>=NL("First","27 Item","22 Unit Cost","1 No.","@@"&amp;$F127)</t>
  </si>
  <si>
    <t>=-NL("Sum","5802 Value Entry","14 Invoiced Quantity","41 Source Type","Customer","4 Item Ledger Entry Type","Sale","2 Item No.","@@"&amp;$F127,"3 Posting Date",I$8,"58 Gen. Prod. Posting Group",$F$7)</t>
  </si>
  <si>
    <t>=NL("Sum","5802 Value Entry","17 Sales Amount (Actual)","41 Source Type","Customer","4 Item Ledger Entry Type","Sale","2 Item No.","@@"&amp;$F127,"3 Posting Date",I$8,"58 Gen. Prod. Posting Group",$F$7)</t>
  </si>
  <si>
    <t>=J127-(I127*H127)</t>
  </si>
  <si>
    <t>=-NL("Sum","5802 Value Entry","14 Invoiced Quantity","41 Source Type","Customer","4 Item Ledger Entry Type","Sale","2 Item No.","@@"&amp;$F127,"3 Posting Date",N$8,"58 Gen. Prod. Posting Group",$F$7)</t>
  </si>
  <si>
    <t>=NL("Sum","5802 Value Entry","17 Sales Amount (Actual)","41 Source Type","Customer","4 Item Ledger Entry Type","Sale","2 Item No.","@@"&amp;$F127,"3 Posting Date",N$8,"58 Gen. Prod. Posting Group",$F$7)</t>
  </si>
  <si>
    <t>=O127-(N127*$H127)</t>
  </si>
  <si>
    <t>=I127-N127</t>
  </si>
  <si>
    <t>=J127-O127</t>
  </si>
  <si>
    <t>=K127-P127</t>
  </si>
  <si>
    <t>=W129</t>
  </si>
  <si>
    <t>=C134</t>
  </si>
  <si>
    <t>=J135-(I135*H135)</t>
  </si>
  <si>
    <t>=IF(J135=0,0,K135/J135)</t>
  </si>
  <si>
    <t>=O135-(N135*$H135)</t>
  </si>
  <si>
    <t>=IF(O135=0,0,P135/O135)</t>
  </si>
  <si>
    <t>=I135-N135</t>
  </si>
  <si>
    <t>=J135-O135</t>
  </si>
  <si>
    <t>=K135-P135</t>
  </si>
  <si>
    <t>=L135-Q135</t>
  </si>
  <si>
    <t>=J136-(I136*H136)</t>
  </si>
  <si>
    <t>=O136-(N136*$H136)</t>
  </si>
  <si>
    <t>=I136-N136</t>
  </si>
  <si>
    <t>=J136-O136</t>
  </si>
  <si>
    <t>=K136-P136</t>
  </si>
  <si>
    <t>=W138</t>
  </si>
  <si>
    <t>=C143</t>
  </si>
  <si>
    <t>=J144-(I144*H144)</t>
  </si>
  <si>
    <t>=IF(J144=0,0,K144/J144)</t>
  </si>
  <si>
    <t>=O144-(N144*$H144)</t>
  </si>
  <si>
    <t>=IF(O144=0,0,P144/O144)</t>
  </si>
  <si>
    <t>=I144-N144</t>
  </si>
  <si>
    <t>=J144-O144</t>
  </si>
  <si>
    <t>=K144-P144</t>
  </si>
  <si>
    <t>=L144-Q144</t>
  </si>
  <si>
    <t>=J145-(I145*H145)</t>
  </si>
  <si>
    <t>=O145-(N145*$H145)</t>
  </si>
  <si>
    <t>=I145-N145</t>
  </si>
  <si>
    <t>=J145-O145</t>
  </si>
  <si>
    <t>=K145-P145</t>
  </si>
  <si>
    <t>=W147</t>
  </si>
  <si>
    <t>=C152</t>
  </si>
  <si>
    <t>=J153-(I153*H153)</t>
  </si>
  <si>
    <t>=IF(J153=0,0,K153/J153)</t>
  </si>
  <si>
    <t>=O153-(N153*$H153)</t>
  </si>
  <si>
    <t>=IF(O153=0,0,P153/O153)</t>
  </si>
  <si>
    <t>=I153-N153</t>
  </si>
  <si>
    <t>=J153-O153</t>
  </si>
  <si>
    <t>=K153-P153</t>
  </si>
  <si>
    <t>=L153-Q153</t>
  </si>
  <si>
    <t>=J154-(I154*H154)</t>
  </si>
  <si>
    <t>=O154-(N154*$H154)</t>
  </si>
  <si>
    <t>=I154-N154</t>
  </si>
  <si>
    <t>=J154-O154</t>
  </si>
  <si>
    <t>=K154-P154</t>
  </si>
  <si>
    <t>=W156</t>
  </si>
  <si>
    <t>=C161</t>
  </si>
  <si>
    <t>=J164-(I164*H164)</t>
  </si>
  <si>
    <t>=IF(J164=0,0,K164/J164)</t>
  </si>
  <si>
    <t>=O164-(N164*$H164)</t>
  </si>
  <si>
    <t>=IF(O164=0,0,P164/O164)</t>
  </si>
  <si>
    <t>=I164-N164</t>
  </si>
  <si>
    <t>=J164-O164</t>
  </si>
  <si>
    <t>=K164-P164</t>
  </si>
  <si>
    <t>=L164-Q164</t>
  </si>
  <si>
    <t>=W165</t>
  </si>
  <si>
    <t>=J186-(I186*H186)</t>
  </si>
  <si>
    <t>=O186-(N186*$H186)</t>
  </si>
  <si>
    <t>=I186-N186</t>
  </si>
  <si>
    <t>=J186-O186</t>
  </si>
  <si>
    <t>=K186-P186</t>
  </si>
  <si>
    <t>=C187</t>
  </si>
  <si>
    <t>=IF(J188=0,0,K188/J188)</t>
  </si>
  <si>
    <t>=IF(O188=0,0,P188/O188)</t>
  </si>
  <si>
    <t>=L188-Q188</t>
  </si>
  <si>
    <t>=W188</t>
  </si>
  <si>
    <t>=J195-(I195*H195)</t>
  </si>
  <si>
    <t>=O195-(N195*$H195)</t>
  </si>
  <si>
    <t>=I195-N195</t>
  </si>
  <si>
    <t>=J195-O195</t>
  </si>
  <si>
    <t>=K195-P195</t>
  </si>
  <si>
    <t>=C196</t>
  </si>
  <si>
    <t>=IF(J197=0,0,K197/J197)</t>
  </si>
  <si>
    <t>=IF(O197=0,0,P197/O197)</t>
  </si>
  <si>
    <t>=L197-Q197</t>
  </si>
  <si>
    <t>=W197</t>
  </si>
  <si>
    <t>=IF(J201=0,0,K201/J201)</t>
  </si>
  <si>
    <t>=IF(O201=0,0,P201/O201)</t>
  </si>
  <si>
    <t>=L201-Q201</t>
  </si>
  <si>
    <t>=C201</t>
  </si>
  <si>
    <t>=C207</t>
  </si>
  <si>
    <t>=J208-(I208*H208)</t>
  </si>
  <si>
    <t>=IF(J208=0,0,K208/J208)</t>
  </si>
  <si>
    <t>=O208-(N208*$H208)</t>
  </si>
  <si>
    <t>=IF(O208=0,0,P208/O208)</t>
  </si>
  <si>
    <t>=I208-N208</t>
  </si>
  <si>
    <t>=J208-O208</t>
  </si>
  <si>
    <t>=K208-P208</t>
  </si>
  <si>
    <t>=L208-Q208</t>
  </si>
  <si>
    <t>=IF(J210=0,0,K210/J210)</t>
  </si>
  <si>
    <t>=IF(O210=0,0,P210/O210)</t>
  </si>
  <si>
    <t>=L210-Q210</t>
  </si>
  <si>
    <t>=C210</t>
  </si>
  <si>
    <t>=C216</t>
  </si>
  <si>
    <t>=J217-(I217*H217)</t>
  </si>
  <si>
    <t>=IF(J217=0,0,K217/J217)</t>
  </si>
  <si>
    <t>=O217-(N217*$H217)</t>
  </si>
  <si>
    <t>=IF(O217=0,0,P217/O217)</t>
  </si>
  <si>
    <t>=I217-N217</t>
  </si>
  <si>
    <t>=J217-O217</t>
  </si>
  <si>
    <t>=K217-P217</t>
  </si>
  <si>
    <t>=L217-Q217</t>
  </si>
  <si>
    <t>=J218-(I218*H218)</t>
  </si>
  <si>
    <t>=O218-(N218*$H218)</t>
  </si>
  <si>
    <t>=I218-N218</t>
  </si>
  <si>
    <t>=J218-O218</t>
  </si>
  <si>
    <t>=K218-P218</t>
  </si>
  <si>
    <t>=C219</t>
  </si>
  <si>
    <t>=IF(J220=0,0,K220/J220)</t>
  </si>
  <si>
    <t>=IF(O220=0,0,P220/O220)</t>
  </si>
  <si>
    <t>=L220-Q220</t>
  </si>
  <si>
    <t>=W220</t>
  </si>
  <si>
    <t>=J223-(I223*H223)</t>
  </si>
  <si>
    <t>=O223-(N223*$H223)</t>
  </si>
  <si>
    <t>=I223-N223</t>
  </si>
  <si>
    <t>=J223-O223</t>
  </si>
  <si>
    <t>=K223-P223</t>
  </si>
  <si>
    <t>=J224-(I224*H224)</t>
  </si>
  <si>
    <t>=IF(J224=0,0,K224/J224)</t>
  </si>
  <si>
    <t>=O224-(N224*$H224)</t>
  </si>
  <si>
    <t>=IF(O224=0,0,P224/O224)</t>
  </si>
  <si>
    <t>=I224-N224</t>
  </si>
  <si>
    <t>=J224-O224</t>
  </si>
  <si>
    <t>=K224-P224</t>
  </si>
  <si>
    <t>=L224-Q224</t>
  </si>
  <si>
    <t>=C224</t>
  </si>
  <si>
    <t>=J225-(I225*H225)</t>
  </si>
  <si>
    <t>=IF(J225=0,0,K225/J225)</t>
  </si>
  <si>
    <t>=O225-(N225*$H225)</t>
  </si>
  <si>
    <t>=IF(O225=0,0,P225/O225)</t>
  </si>
  <si>
    <t>=I225-N225</t>
  </si>
  <si>
    <t>=J225-O225</t>
  </si>
  <si>
    <t>=K225-P225</t>
  </si>
  <si>
    <t>=L225-Q225</t>
  </si>
  <si>
    <t>=W225</t>
  </si>
  <si>
    <t>=NL("First","27 Item","3 Description","1 No.","@@"&amp;$F232)</t>
  </si>
  <si>
    <t>=NL("First","27 Item","22 Unit Cost","1 No.","@@"&amp;$F232)</t>
  </si>
  <si>
    <t>=-NL("Sum","5802 Value Entry","14 Invoiced Quantity","41 Source Type","Customer","4 Item Ledger Entry Type","Sale","2 Item No.","@@"&amp;$F232,"3 Posting Date",I$8,"58 Gen. Prod. Posting Group",$F$7)</t>
  </si>
  <si>
    <t>=NL("Sum","5802 Value Entry","17 Sales Amount (Actual)","41 Source Type","Customer","4 Item Ledger Entry Type","Sale","2 Item No.","@@"&amp;$F232,"3 Posting Date",I$8,"58 Gen. Prod. Posting Group",$F$7)</t>
  </si>
  <si>
    <t>=J232-(I232*H232)</t>
  </si>
  <si>
    <t>=-NL("Sum","5802 Value Entry","14 Invoiced Quantity","41 Source Type","Customer","4 Item Ledger Entry Type","Sale","2 Item No.","@@"&amp;$F232,"3 Posting Date",N$8,"58 Gen. Prod. Posting Group",$F$7)</t>
  </si>
  <si>
    <t>=NL("Sum","5802 Value Entry","17 Sales Amount (Actual)","41 Source Type","Customer","4 Item Ledger Entry Type","Sale","2 Item No.","@@"&amp;$F232,"3 Posting Date",N$8,"58 Gen. Prod. Posting Group",$F$7)</t>
  </si>
  <si>
    <t>=O232-(N232*$H232)</t>
  </si>
  <si>
    <t>=I232-N232</t>
  </si>
  <si>
    <t>=J232-O232</t>
  </si>
  <si>
    <t>=K232-P232</t>
  </si>
  <si>
    <t>=C233</t>
  </si>
  <si>
    <t>=IF(J234=0,0,K234/J234)</t>
  </si>
  <si>
    <t>=IF(O234=0,0,P234/O234)</t>
  </si>
  <si>
    <t>=L234-Q234</t>
  </si>
  <si>
    <t>=W234</t>
  </si>
  <si>
    <t>=E236</t>
  </si>
  <si>
    <t>=NL("Rows","27 Item","1 No.","5704 Product Group Code","@@"&amp;C237,"1 No.",$F$6,"78 Sales (LCY)","&lt;&gt;0")</t>
  </si>
  <si>
    <t>=C239</t>
  </si>
  <si>
    <t>=J240-(I240*H240)</t>
  </si>
  <si>
    <t>=IF(J240=0,0,K240/J240)</t>
  </si>
  <si>
    <t>=O240-(N240*$H240)</t>
  </si>
  <si>
    <t>=IF(O240=0,0,P240/O240)</t>
  </si>
  <si>
    <t>=I240-N240</t>
  </si>
  <si>
    <t>=J240-O240</t>
  </si>
  <si>
    <t>=K240-P240</t>
  </si>
  <si>
    <t>=L240-Q240</t>
  </si>
  <si>
    <t>=J241-(I241*H241)</t>
  </si>
  <si>
    <t>=O241-(N241*$H241)</t>
  </si>
  <si>
    <t>=I241-N241</t>
  </si>
  <si>
    <t>=J241-O241</t>
  </si>
  <si>
    <t>=K241-P241</t>
  </si>
  <si>
    <t>=C242</t>
  </si>
  <si>
    <t>=E236&amp;" Total"</t>
  </si>
  <si>
    <t>=SUBTOTAL(9,I237:I242)</t>
  </si>
  <si>
    <t>=SUBTOTAL(9,J237:J242)</t>
  </si>
  <si>
    <t>=SUBTOTAL(9,K237:K242)</t>
  </si>
  <si>
    <t>=SUM(P237:P242)</t>
  </si>
  <si>
    <t>=SUBTOTAL(9,S237:S242)</t>
  </si>
  <si>
    <t>=SUBTOTAL(9,T237:T242)</t>
  </si>
  <si>
    <t>=SUBTOTAL(9,U237:U242)</t>
  </si>
  <si>
    <t>=C243</t>
  </si>
  <si>
    <t>=E245</t>
  </si>
  <si>
    <t>=C245</t>
  </si>
  <si>
    <t>=NL("Rows","27 Item","1 No.","5704 Product Group Code","@@"&amp;C246,"1 No.",$F$6,"78 Sales (LCY)","&lt;&gt;0")</t>
  </si>
  <si>
    <t>=J246-(I246*H246)</t>
  </si>
  <si>
    <t>=IF(J246=0,0,K246/J246)</t>
  </si>
  <si>
    <t>=O246-(N246*$H246)</t>
  </si>
  <si>
    <t>=IF(O246=0,0,P246/O246)</t>
  </si>
  <si>
    <t>=I246-N246</t>
  </si>
  <si>
    <t>=J246-O246</t>
  </si>
  <si>
    <t>=K246-P246</t>
  </si>
  <si>
    <t>=L246-Q246</t>
  </si>
  <si>
    <t>=W246</t>
  </si>
  <si>
    <t>=C246</t>
  </si>
  <si>
    <t>=J247-(I247*H247)</t>
  </si>
  <si>
    <t>=IF(J247=0,0,K247/J247)</t>
  </si>
  <si>
    <t>=O247-(N247*$H247)</t>
  </si>
  <si>
    <t>=IF(O247=0,0,P247/O247)</t>
  </si>
  <si>
    <t>=I247-N247</t>
  </si>
  <si>
    <t>=J247-O247</t>
  </si>
  <si>
    <t>=K247-P247</t>
  </si>
  <si>
    <t>=L247-Q247</t>
  </si>
  <si>
    <t>=W247</t>
  </si>
  <si>
    <t>=C247</t>
  </si>
  <si>
    <t>=J248-(I248*H248)</t>
  </si>
  <si>
    <t>=IF(J248=0,0,K248/J248)</t>
  </si>
  <si>
    <t>=O248-(N248*$H248)</t>
  </si>
  <si>
    <t>=IF(O248=0,0,P248/O248)</t>
  </si>
  <si>
    <t>=I248-N248</t>
  </si>
  <si>
    <t>=J248-O248</t>
  </si>
  <si>
    <t>=K248-P248</t>
  </si>
  <si>
    <t>=L248-Q248</t>
  </si>
  <si>
    <t>=W248</t>
  </si>
  <si>
    <t>=C248</t>
  </si>
  <si>
    <t>=J249-(I249*H249)</t>
  </si>
  <si>
    <t>=IF(J249=0,0,K249/J249)</t>
  </si>
  <si>
    <t>=O249-(N249*$H249)</t>
  </si>
  <si>
    <t>=IF(O249=0,0,P249/O249)</t>
  </si>
  <si>
    <t>=I249-N249</t>
  </si>
  <si>
    <t>=J249-O249</t>
  </si>
  <si>
    <t>=K249-P249</t>
  </si>
  <si>
    <t>=L249-Q249</t>
  </si>
  <si>
    <t>=W249</t>
  </si>
  <si>
    <t>=C249</t>
  </si>
  <si>
    <t>=J250-(I250*H250)</t>
  </si>
  <si>
    <t>=IF(J250=0,0,K250/J250)</t>
  </si>
  <si>
    <t>=O250-(N250*$H250)</t>
  </si>
  <si>
    <t>=IF(O250=0,0,P250/O250)</t>
  </si>
  <si>
    <t>=I250-N250</t>
  </si>
  <si>
    <t>=J250-O250</t>
  </si>
  <si>
    <t>=K250-P250</t>
  </si>
  <si>
    <t>=L250-Q250</t>
  </si>
  <si>
    <t>=W250</t>
  </si>
  <si>
    <t>=W251</t>
  </si>
  <si>
    <t>=C251</t>
  </si>
  <si>
    <t>=E245&amp;" Total"</t>
  </si>
  <si>
    <t>=SUBTOTAL(9,I246:I251)</t>
  </si>
  <si>
    <t>=SUBTOTAL(9,J246:J251)</t>
  </si>
  <si>
    <t>=SUBTOTAL(9,K246:K251)</t>
  </si>
  <si>
    <t>=IF(J252=0,0,K252/J252)</t>
  </si>
  <si>
    <t>=SUM(P246:P251)</t>
  </si>
  <si>
    <t>=IF(O252=0,0,P252/O252)</t>
  </si>
  <si>
    <t>=SUBTOTAL(9,S246:S251)</t>
  </si>
  <si>
    <t>=SUBTOTAL(9,T246:T251)</t>
  </si>
  <si>
    <t>=SUBTOTAL(9,U246:U251)</t>
  </si>
  <si>
    <t>=L252-Q252</t>
  </si>
  <si>
    <t>=W252</t>
  </si>
  <si>
    <t>=C252</t>
  </si>
  <si>
    <t>=E254</t>
  </si>
  <si>
    <t>=C254</t>
  </si>
  <si>
    <t>=NL("Rows","27 Item","1 No.","5704 Product Group Code","@@"&amp;C255,"1 No.",$F$6,"78 Sales (LCY)","&lt;&gt;0")</t>
  </si>
  <si>
    <t>=NL("First","27 Item","3 Description","1 No.","@@"&amp;$F255)</t>
  </si>
  <si>
    <t>=NL("First","27 Item","22 Unit Cost","1 No.","@@"&amp;$F255)</t>
  </si>
  <si>
    <t>=-NL("Sum","5802 Value Entry","14 Invoiced Quantity","41 Source Type","Customer","4 Item Ledger Entry Type","Sale","2 Item No.","@@"&amp;$F255,"3 Posting Date",I$8,"58 Gen. Prod. Posting Group",$F$7)</t>
  </si>
  <si>
    <t>=NL("Sum","5802 Value Entry","17 Sales Amount (Actual)","41 Source Type","Customer","4 Item Ledger Entry Type","Sale","2 Item No.","@@"&amp;$F255,"3 Posting Date",I$8,"58 Gen. Prod. Posting Group",$F$7)</t>
  </si>
  <si>
    <t>=J255-(I255*H255)</t>
  </si>
  <si>
    <t>=IF(J255=0,0,K255/J255)</t>
  </si>
  <si>
    <t>=-NL("Sum","5802 Value Entry","14 Invoiced Quantity","41 Source Type","Customer","4 Item Ledger Entry Type","Sale","2 Item No.","@@"&amp;$F255,"3 Posting Date",N$8,"58 Gen. Prod. Posting Group",$F$7)</t>
  </si>
  <si>
    <t>=NL("Sum","5802 Value Entry","17 Sales Amount (Actual)","41 Source Type","Customer","4 Item Ledger Entry Type","Sale","2 Item No.","@@"&amp;$F255,"3 Posting Date",N$8,"58 Gen. Prod. Posting Group",$F$7)</t>
  </si>
  <si>
    <t>=O255-(N255*$H255)</t>
  </si>
  <si>
    <t>=IF(O255=0,0,P255/O255)</t>
  </si>
  <si>
    <t>=I255-N255</t>
  </si>
  <si>
    <t>=J255-O255</t>
  </si>
  <si>
    <t>=K255-P255</t>
  </si>
  <si>
    <t>=L255-Q255</t>
  </si>
  <si>
    <t>=W255</t>
  </si>
  <si>
    <t>=C255</t>
  </si>
  <si>
    <t>=W256</t>
  </si>
  <si>
    <t>=C256</t>
  </si>
  <si>
    <t>=E254&amp;" Total"</t>
  </si>
  <si>
    <t>=IF(J257=0,0,K257/J257)</t>
  </si>
  <si>
    <t>=IF(O257=0,0,P257/O257)</t>
  </si>
  <si>
    <t>=L257-Q257</t>
  </si>
  <si>
    <t>=W257</t>
  </si>
  <si>
    <t>=W258</t>
  </si>
  <si>
    <t>=C259</t>
  </si>
  <si>
    <t>=C261</t>
  </si>
  <si>
    <t>=J262-(I262*H262)</t>
  </si>
  <si>
    <t>=IF(J262=0,0,K262/J262)</t>
  </si>
  <si>
    <t>=O262-(N262*$H262)</t>
  </si>
  <si>
    <t>=IF(O262=0,0,P262/O262)</t>
  </si>
  <si>
    <t>=I262-N262</t>
  </si>
  <si>
    <t>=J262-O262</t>
  </si>
  <si>
    <t>=K262-P262</t>
  </si>
  <si>
    <t>=L262-Q262</t>
  </si>
  <si>
    <t>=W262</t>
  </si>
  <si>
    <t>=C262</t>
  </si>
  <si>
    <t>=J263-(I263*H263)</t>
  </si>
  <si>
    <t>=IF(J263=0,0,K263/J263)</t>
  </si>
  <si>
    <t>=O263-(N263*$H263)</t>
  </si>
  <si>
    <t>=IF(O263=0,0,P263/O263)</t>
  </si>
  <si>
    <t>=I263-N263</t>
  </si>
  <si>
    <t>=J263-O263</t>
  </si>
  <si>
    <t>=K263-P263</t>
  </si>
  <si>
    <t>=L263-Q263</t>
  </si>
  <si>
    <t>=W263</t>
  </si>
  <si>
    <t>=C263</t>
  </si>
  <si>
    <t>=J264-(I264*H264)</t>
  </si>
  <si>
    <t>=IF(J264=0,0,K264/J264)</t>
  </si>
  <si>
    <t>=O264-(N264*$H264)</t>
  </si>
  <si>
    <t>=IF(O264=0,0,P264/O264)</t>
  </si>
  <si>
    <t>=I264-N264</t>
  </si>
  <si>
    <t>=J264-O264</t>
  </si>
  <si>
    <t>=K264-P264</t>
  </si>
  <si>
    <t>=L264-Q264</t>
  </si>
  <si>
    <t>=W264</t>
  </si>
  <si>
    <t>=W265</t>
  </si>
  <si>
    <t>=C265</t>
  </si>
  <si>
    <t>=IF(J266=0,0,K266/J266)</t>
  </si>
  <si>
    <t>=IF(O266=0,0,P266/O266)</t>
  </si>
  <si>
    <t>=L266-Q266</t>
  </si>
  <si>
    <t>=W266</t>
  </si>
  <si>
    <t>=C266</t>
  </si>
  <si>
    <t>=E268</t>
  </si>
  <si>
    <t>=C268</t>
  </si>
  <si>
    <t>=NL("Rows","27 Item","1 No.","5704 Product Group Code","@@"&amp;C269,"1 No.",$F$6,"78 Sales (LCY)","&lt;&gt;0")</t>
  </si>
  <si>
    <t>=J269-(I269*H269)</t>
  </si>
  <si>
    <t>=IF(J269=0,0,K269/J269)</t>
  </si>
  <si>
    <t>=O269-(N269*$H269)</t>
  </si>
  <si>
    <t>=IF(O269=0,0,P269/O269)</t>
  </si>
  <si>
    <t>=I269-N269</t>
  </si>
  <si>
    <t>=J269-O269</t>
  </si>
  <si>
    <t>=K269-P269</t>
  </si>
  <si>
    <t>=L269-Q269</t>
  </si>
  <si>
    <t>=W269</t>
  </si>
  <si>
    <t>=C269</t>
  </si>
  <si>
    <t>=J270-(I270*H270)</t>
  </si>
  <si>
    <t>=IF(J270=0,0,K270/J270)</t>
  </si>
  <si>
    <t>=O270-(N270*$H270)</t>
  </si>
  <si>
    <t>=IF(O270=0,0,P270/O270)</t>
  </si>
  <si>
    <t>=I270-N270</t>
  </si>
  <si>
    <t>=J270-O270</t>
  </si>
  <si>
    <t>=K270-P270</t>
  </si>
  <si>
    <t>=L270-Q270</t>
  </si>
  <si>
    <t>=W270</t>
  </si>
  <si>
    <t>=C270</t>
  </si>
  <si>
    <t>=J271-(I271*H271)</t>
  </si>
  <si>
    <t>=IF(J271=0,0,K271/J271)</t>
  </si>
  <si>
    <t>=O271-(N271*$H271)</t>
  </si>
  <si>
    <t>=IF(O271=0,0,P271/O271)</t>
  </si>
  <si>
    <t>=I271-N271</t>
  </si>
  <si>
    <t>=J271-O271</t>
  </si>
  <si>
    <t>=K271-P271</t>
  </si>
  <si>
    <t>=L271-Q271</t>
  </si>
  <si>
    <t>=W271</t>
  </si>
  <si>
    <t>=C271</t>
  </si>
  <si>
    <t>=J272-(I272*H272)</t>
  </si>
  <si>
    <t>=IF(J272=0,0,K272/J272)</t>
  </si>
  <si>
    <t>=O272-(N272*$H272)</t>
  </si>
  <si>
    <t>=IF(O272=0,0,P272/O272)</t>
  </si>
  <si>
    <t>=I272-N272</t>
  </si>
  <si>
    <t>=J272-O272</t>
  </si>
  <si>
    <t>=K272-P272</t>
  </si>
  <si>
    <t>=L272-Q272</t>
  </si>
  <si>
    <t>=W272</t>
  </si>
  <si>
    <t>=C272</t>
  </si>
  <si>
    <t>=J273-(I273*H273)</t>
  </si>
  <si>
    <t>=IF(J273=0,0,K273/J273)</t>
  </si>
  <si>
    <t>=O273-(N273*$H273)</t>
  </si>
  <si>
    <t>=IF(O273=0,0,P273/O273)</t>
  </si>
  <si>
    <t>=I273-N273</t>
  </si>
  <si>
    <t>=J273-O273</t>
  </si>
  <si>
    <t>=K273-P273</t>
  </si>
  <si>
    <t>=L273-Q273</t>
  </si>
  <si>
    <t>=W273</t>
  </si>
  <si>
    <t>=W274</t>
  </si>
  <si>
    <t>=C274</t>
  </si>
  <si>
    <t>=E268&amp;" Total"</t>
  </si>
  <si>
    <t>=SUBTOTAL(9,I269:I274)</t>
  </si>
  <si>
    <t>=SUBTOTAL(9,J269:J274)</t>
  </si>
  <si>
    <t>=SUBTOTAL(9,K269:K274)</t>
  </si>
  <si>
    <t>=IF(J275=0,0,K275/J275)</t>
  </si>
  <si>
    <t>=SUM(P269:P274)</t>
  </si>
  <si>
    <t>=IF(O275=0,0,P275/O275)</t>
  </si>
  <si>
    <t>=SUBTOTAL(9,S269:S274)</t>
  </si>
  <si>
    <t>=SUBTOTAL(9,T269:T274)</t>
  </si>
  <si>
    <t>=SUBTOTAL(9,U269:U274)</t>
  </si>
  <si>
    <t>=L275-Q275</t>
  </si>
  <si>
    <t>=W275</t>
  </si>
  <si>
    <t>=C275</t>
  </si>
  <si>
    <t>=C277</t>
  </si>
  <si>
    <t>=IF(J278=0,0,K278/J278)</t>
  </si>
  <si>
    <t>=IF(O278=0,0,P278/O278)</t>
  </si>
  <si>
    <t>=L278-Q278</t>
  </si>
  <si>
    <t>=W278</t>
  </si>
  <si>
    <t>="S200002"</t>
  </si>
  <si>
    <t>="S200003"</t>
  </si>
  <si>
    <t>="S200004"</t>
  </si>
  <si>
    <t>="S200005"</t>
  </si>
  <si>
    <t>="S200011"</t>
  </si>
  <si>
    <t>="S200012"</t>
  </si>
  <si>
    <t>="S200018"</t>
  </si>
  <si>
    <t>="S200019"</t>
  </si>
  <si>
    <t>="S200025"</t>
  </si>
  <si>
    <t>="S200026"</t>
  </si>
  <si>
    <t>=NL("First","27 Item","3 Description","1 No.","@@"&amp;$F14)</t>
  </si>
  <si>
    <t>=NL("First","27 Item","3 Description","1 No.","@@"&amp;$F15)</t>
  </si>
  <si>
    <t>=NL("First","27 Item","3 Description","1 No.","@@"&amp;$F16)</t>
  </si>
  <si>
    <t>=NL("First","27 Item","3 Description","1 No.","@@"&amp;$F17)</t>
  </si>
  <si>
    <t>=NL("First","27 Item","22 Unit Cost","1 No.","@@"&amp;$F14)</t>
  </si>
  <si>
    <t>=NL("First","27 Item","22 Unit Cost","1 No.","@@"&amp;$F15)</t>
  </si>
  <si>
    <t>=NL("First","27 Item","22 Unit Cost","1 No.","@@"&amp;$F16)</t>
  </si>
  <si>
    <t>=NL("First","27 Item","22 Unit Cost","1 No.","@@"&amp;$F17)</t>
  </si>
  <si>
    <t>=-NL("Sum","5802 Value Entry","14 Invoiced Quantity","41 Source Type","Customer","4 Item Ledger Entry Type","Sale","2 Item No.","@@"&amp;$F14,"3 Posting Date",I$8,"58 Gen. Prod. Posting Group",$F$7)</t>
  </si>
  <si>
    <t>=-NL("Sum","5802 Value Entry","14 Invoiced Quantity","41 Source Type","Customer","4 Item Ledger Entry Type","Sale","2 Item No.","@@"&amp;$F15,"3 Posting Date",I$8,"58 Gen. Prod. Posting Group",$F$7)</t>
  </si>
  <si>
    <t>=-NL("Sum","5802 Value Entry","14 Invoiced Quantity","41 Source Type","Customer","4 Item Ledger Entry Type","Sale","2 Item No.","@@"&amp;$F16,"3 Posting Date",I$8,"58 Gen. Prod. Posting Group",$F$7)</t>
  </si>
  <si>
    <t>=-NL("Sum","5802 Value Entry","14 Invoiced Quantity","41 Source Type","Customer","4 Item Ledger Entry Type","Sale","2 Item No.","@@"&amp;$F17,"3 Posting Date",I$8,"58 Gen. Prod. Posting Group",$F$7)</t>
  </si>
  <si>
    <t>=NL("Sum","5802 Value Entry","17 Sales Amount (Actual)","41 Source Type","Customer","4 Item Ledger Entry Type","Sale","2 Item No.","@@"&amp;$F14,"3 Posting Date",I$8,"58 Gen. Prod. Posting Group",$F$7)</t>
  </si>
  <si>
    <t>=NL("Sum","5802 Value Entry","17 Sales Amount (Actual)","41 Source Type","Customer","4 Item Ledger Entry Type","Sale","2 Item No.","@@"&amp;$F15,"3 Posting Date",I$8,"58 Gen. Prod. Posting Group",$F$7)</t>
  </si>
  <si>
    <t>=NL("Sum","5802 Value Entry","17 Sales Amount (Actual)","41 Source Type","Customer","4 Item Ledger Entry Type","Sale","2 Item No.","@@"&amp;$F16,"3 Posting Date",I$8,"58 Gen. Prod. Posting Group",$F$7)</t>
  </si>
  <si>
    <t>=NL("Sum","5802 Value Entry","17 Sales Amount (Actual)","41 Source Type","Customer","4 Item Ledger Entry Type","Sale","2 Item No.","@@"&amp;$F17,"3 Posting Date",I$8,"58 Gen. Prod. Posting Group",$F$7)</t>
  </si>
  <si>
    <t>=-NL("Sum","5802 Value Entry","14 Invoiced Quantity","41 Source Type","Customer","4 Item Ledger Entry Type","Sale","2 Item No.","@@"&amp;$F14,"3 Posting Date",N$8,"58 Gen. Prod. Posting Group",$F$7)</t>
  </si>
  <si>
    <t>=-NL("Sum","5802 Value Entry","14 Invoiced Quantity","41 Source Type","Customer","4 Item Ledger Entry Type","Sale","2 Item No.","@@"&amp;$F15,"3 Posting Date",N$8,"58 Gen. Prod. Posting Group",$F$7)</t>
  </si>
  <si>
    <t>=-NL("Sum","5802 Value Entry","14 Invoiced Quantity","41 Source Type","Customer","4 Item Ledger Entry Type","Sale","2 Item No.","@@"&amp;$F16,"3 Posting Date",N$8,"58 Gen. Prod. Posting Group",$F$7)</t>
  </si>
  <si>
    <t>=-NL("Sum","5802 Value Entry","14 Invoiced Quantity","41 Source Type","Customer","4 Item Ledger Entry Type","Sale","2 Item No.","@@"&amp;$F17,"3 Posting Date",N$8,"58 Gen. Prod. Posting Group",$F$7)</t>
  </si>
  <si>
    <t>=NL("Sum","5802 Value Entry","17 Sales Amount (Actual)","41 Source Type","Customer","4 Item Ledger Entry Type","Sale","2 Item No.","@@"&amp;$F14,"3 Posting Date",N$8,"58 Gen. Prod. Posting Group",$F$7)</t>
  </si>
  <si>
    <t>=NL("Sum","5802 Value Entry","17 Sales Amount (Actual)","41 Source Type","Customer","4 Item Ledger Entry Type","Sale","2 Item No.","@@"&amp;$F15,"3 Posting Date",N$8,"58 Gen. Prod. Posting Group",$F$7)</t>
  </si>
  <si>
    <t>=NL("Sum","5802 Value Entry","17 Sales Amount (Actual)","41 Source Type","Customer","4 Item Ledger Entry Type","Sale","2 Item No.","@@"&amp;$F16,"3 Posting Date",N$8,"58 Gen. Prod. Posting Group",$F$7)</t>
  </si>
  <si>
    <t>=NL("Sum","5802 Value Entry","17 Sales Amount (Actual)","41 Source Type","Customer","4 Item Ledger Entry Type","Sale","2 Item No.","@@"&amp;$F17,"3 Posting Date",N$8,"58 Gen. Prod. Posting Group",$F$7)</t>
  </si>
  <si>
    <t>=NL("First","27 Item","3 Description","1 No.","@@"&amp;$F269)</t>
  </si>
  <si>
    <t>=NL("First","27 Item","3 Description","1 No.","@@"&amp;$F270)</t>
  </si>
  <si>
    <t>=NL("First","27 Item","3 Description","1 No.","@@"&amp;$F271)</t>
  </si>
  <si>
    <t>=NL("First","27 Item","3 Description","1 No.","@@"&amp;$F272)</t>
  </si>
  <si>
    <t>=NL("First","27 Item","3 Description","1 No.","@@"&amp;$F273)</t>
  </si>
  <si>
    <t>=NL("First","27 Item","22 Unit Cost","1 No.","@@"&amp;$F269)</t>
  </si>
  <si>
    <t>=NL("First","27 Item","22 Unit Cost","1 No.","@@"&amp;$F270)</t>
  </si>
  <si>
    <t>=NL("First","27 Item","22 Unit Cost","1 No.","@@"&amp;$F271)</t>
  </si>
  <si>
    <t>=NL("First","27 Item","22 Unit Cost","1 No.","@@"&amp;$F272)</t>
  </si>
  <si>
    <t>=NL("First","27 Item","22 Unit Cost","1 No.","@@"&amp;$F273)</t>
  </si>
  <si>
    <t>=-NL("Sum","5802 Value Entry","14 Invoiced Quantity","41 Source Type","Customer","4 Item Ledger Entry Type","Sale","2 Item No.","@@"&amp;$F269,"3 Posting Date",I$8,"58 Gen. Prod. Posting Group",$F$7)</t>
  </si>
  <si>
    <t>=-NL("Sum","5802 Value Entry","14 Invoiced Quantity","41 Source Type","Customer","4 Item Ledger Entry Type","Sale","2 Item No.","@@"&amp;$F270,"3 Posting Date",I$8,"58 Gen. Prod. Posting Group",$F$7)</t>
  </si>
  <si>
    <t>=-NL("Sum","5802 Value Entry","14 Invoiced Quantity","41 Source Type","Customer","4 Item Ledger Entry Type","Sale","2 Item No.","@@"&amp;$F271,"3 Posting Date",I$8,"58 Gen. Prod. Posting Group",$F$7)</t>
  </si>
  <si>
    <t>=-NL("Sum","5802 Value Entry","14 Invoiced Quantity","41 Source Type","Customer","4 Item Ledger Entry Type","Sale","2 Item No.","@@"&amp;$F272,"3 Posting Date",I$8,"58 Gen. Prod. Posting Group",$F$7)</t>
  </si>
  <si>
    <t>=-NL("Sum","5802 Value Entry","14 Invoiced Quantity","41 Source Type","Customer","4 Item Ledger Entry Type","Sale","2 Item No.","@@"&amp;$F273,"3 Posting Date",I$8,"58 Gen. Prod. Posting Group",$F$7)</t>
  </si>
  <si>
    <t>=NL("Sum","5802 Value Entry","17 Sales Amount (Actual)","41 Source Type","Customer","4 Item Ledger Entry Type","Sale","2 Item No.","@@"&amp;$F269,"3 Posting Date",I$8,"58 Gen. Prod. Posting Group",$F$7)</t>
  </si>
  <si>
    <t>=NL("Sum","5802 Value Entry","17 Sales Amount (Actual)","41 Source Type","Customer","4 Item Ledger Entry Type","Sale","2 Item No.","@@"&amp;$F270,"3 Posting Date",I$8,"58 Gen. Prod. Posting Group",$F$7)</t>
  </si>
  <si>
    <t>=NL("Sum","5802 Value Entry","17 Sales Amount (Actual)","41 Source Type","Customer","4 Item Ledger Entry Type","Sale","2 Item No.","@@"&amp;$F271,"3 Posting Date",I$8,"58 Gen. Prod. Posting Group",$F$7)</t>
  </si>
  <si>
    <t>=NL("Sum","5802 Value Entry","17 Sales Amount (Actual)","41 Source Type","Customer","4 Item Ledger Entry Type","Sale","2 Item No.","@@"&amp;$F272,"3 Posting Date",I$8,"58 Gen. Prod. Posting Group",$F$7)</t>
  </si>
  <si>
    <t>=NL("Sum","5802 Value Entry","17 Sales Amount (Actual)","41 Source Type","Customer","4 Item Ledger Entry Type","Sale","2 Item No.","@@"&amp;$F273,"3 Posting Date",I$8,"58 Gen. Prod. Posting Group",$F$7)</t>
  </si>
  <si>
    <t>=-NL("Sum","5802 Value Entry","14 Invoiced Quantity","41 Source Type","Customer","4 Item Ledger Entry Type","Sale","2 Item No.","@@"&amp;$F269,"3 Posting Date",N$8,"58 Gen. Prod. Posting Group",$F$7)</t>
  </si>
  <si>
    <t>=-NL("Sum","5802 Value Entry","14 Invoiced Quantity","41 Source Type","Customer","4 Item Ledger Entry Type","Sale","2 Item No.","@@"&amp;$F270,"3 Posting Date",N$8,"58 Gen. Prod. Posting Group",$F$7)</t>
  </si>
  <si>
    <t>=-NL("Sum","5802 Value Entry","14 Invoiced Quantity","41 Source Type","Customer","4 Item Ledger Entry Type","Sale","2 Item No.","@@"&amp;$F271,"3 Posting Date",N$8,"58 Gen. Prod. Posting Group",$F$7)</t>
  </si>
  <si>
    <t>=-NL("Sum","5802 Value Entry","14 Invoiced Quantity","41 Source Type","Customer","4 Item Ledger Entry Type","Sale","2 Item No.","@@"&amp;$F272,"3 Posting Date",N$8,"58 Gen. Prod. Posting Group",$F$7)</t>
  </si>
  <si>
    <t>=-NL("Sum","5802 Value Entry","14 Invoiced Quantity","41 Source Type","Customer","4 Item Ledger Entry Type","Sale","2 Item No.","@@"&amp;$F273,"3 Posting Date",N$8,"58 Gen. Prod. Posting Group",$F$7)</t>
  </si>
  <si>
    <t>=NL("Sum","5802 Value Entry","17 Sales Amount (Actual)","41 Source Type","Customer","4 Item Ledger Entry Type","Sale","2 Item No.","@@"&amp;$F269,"3 Posting Date",N$8,"58 Gen. Prod. Posting Group",$F$7)</t>
  </si>
  <si>
    <t>=NL("Sum","5802 Value Entry","17 Sales Amount (Actual)","41 Source Type","Customer","4 Item Ledger Entry Type","Sale","2 Item No.","@@"&amp;$F270,"3 Posting Date",N$8,"58 Gen. Prod. Posting Group",$F$7)</t>
  </si>
  <si>
    <t>=NL("Sum","5802 Value Entry","17 Sales Amount (Actual)","41 Source Type","Customer","4 Item Ledger Entry Type","Sale","2 Item No.","@@"&amp;$F271,"3 Posting Date",N$8,"58 Gen. Prod. Posting Group",$F$7)</t>
  </si>
  <si>
    <t>=NL("Sum","5802 Value Entry","17 Sales Amount (Actual)","41 Source Type","Customer","4 Item Ledger Entry Type","Sale","2 Item No.","@@"&amp;$F272,"3 Posting Date",N$8,"58 Gen. Prod. Posting Group",$F$7)</t>
  </si>
  <si>
    <t>=NL("Sum","5802 Value Entry","17 Sales Amount (Actual)","41 Source Type","Customer","4 Item Ledger Entry Type","Sale","2 Item No.","@@"&amp;$F273,"3 Posting Date",N$8,"58 Gen. Prod. Posting Group",$F$7)</t>
  </si>
  <si>
    <t>=NL("First","27 Item","3 Description","1 No.","@@"&amp;$F262)</t>
  </si>
  <si>
    <t>=NL("First","27 Item","3 Description","1 No.","@@"&amp;$F263)</t>
  </si>
  <si>
    <t>=NL("First","27 Item","3 Description","1 No.","@@"&amp;$F264)</t>
  </si>
  <si>
    <t>=NL("First","27 Item","22 Unit Cost","1 No.","@@"&amp;$F262)</t>
  </si>
  <si>
    <t>=NL("First","27 Item","22 Unit Cost","1 No.","@@"&amp;$F263)</t>
  </si>
  <si>
    <t>=NL("First","27 Item","22 Unit Cost","1 No.","@@"&amp;$F264)</t>
  </si>
  <si>
    <t>=-NL("Sum","5802 Value Entry","14 Invoiced Quantity","41 Source Type","Customer","4 Item Ledger Entry Type","Sale","2 Item No.","@@"&amp;$F262,"3 Posting Date",I$8,"58 Gen. Prod. Posting Group",$F$7)</t>
  </si>
  <si>
    <t>=-NL("Sum","5802 Value Entry","14 Invoiced Quantity","41 Source Type","Customer","4 Item Ledger Entry Type","Sale","2 Item No.","@@"&amp;$F263,"3 Posting Date",I$8,"58 Gen. Prod. Posting Group",$F$7)</t>
  </si>
  <si>
    <t>=-NL("Sum","5802 Value Entry","14 Invoiced Quantity","41 Source Type","Customer","4 Item Ledger Entry Type","Sale","2 Item No.","@@"&amp;$F264,"3 Posting Date",I$8,"58 Gen. Prod. Posting Group",$F$7)</t>
  </si>
  <si>
    <t>=NL("Sum","5802 Value Entry","17 Sales Amount (Actual)","41 Source Type","Customer","4 Item Ledger Entry Type","Sale","2 Item No.","@@"&amp;$F262,"3 Posting Date",I$8,"58 Gen. Prod. Posting Group",$F$7)</t>
  </si>
  <si>
    <t>=NL("Sum","5802 Value Entry","17 Sales Amount (Actual)","41 Source Type","Customer","4 Item Ledger Entry Type","Sale","2 Item No.","@@"&amp;$F263,"3 Posting Date",I$8,"58 Gen. Prod. Posting Group",$F$7)</t>
  </si>
  <si>
    <t>=NL("Sum","5802 Value Entry","17 Sales Amount (Actual)","41 Source Type","Customer","4 Item Ledger Entry Type","Sale","2 Item No.","@@"&amp;$F264,"3 Posting Date",I$8,"58 Gen. Prod. Posting Group",$F$7)</t>
  </si>
  <si>
    <t>=-NL("Sum","5802 Value Entry","14 Invoiced Quantity","41 Source Type","Customer","4 Item Ledger Entry Type","Sale","2 Item No.","@@"&amp;$F262,"3 Posting Date",N$8,"58 Gen. Prod. Posting Group",$F$7)</t>
  </si>
  <si>
    <t>=-NL("Sum","5802 Value Entry","14 Invoiced Quantity","41 Source Type","Customer","4 Item Ledger Entry Type","Sale","2 Item No.","@@"&amp;$F263,"3 Posting Date",N$8,"58 Gen. Prod. Posting Group",$F$7)</t>
  </si>
  <si>
    <t>=-NL("Sum","5802 Value Entry","14 Invoiced Quantity","41 Source Type","Customer","4 Item Ledger Entry Type","Sale","2 Item No.","@@"&amp;$F264,"3 Posting Date",N$8,"58 Gen. Prod. Posting Group",$F$7)</t>
  </si>
  <si>
    <t>=NL("Sum","5802 Value Entry","17 Sales Amount (Actual)","41 Source Type","Customer","4 Item Ledger Entry Type","Sale","2 Item No.","@@"&amp;$F262,"3 Posting Date",N$8,"58 Gen. Prod. Posting Group",$F$7)</t>
  </si>
  <si>
    <t>=NL("Sum","5802 Value Entry","17 Sales Amount (Actual)","41 Source Type","Customer","4 Item Ledger Entry Type","Sale","2 Item No.","@@"&amp;$F263,"3 Posting Date",N$8,"58 Gen. Prod. Posting Group",$F$7)</t>
  </si>
  <si>
    <t>=NL("Sum","5802 Value Entry","17 Sales Amount (Actual)","41 Source Type","Customer","4 Item Ledger Entry Type","Sale","2 Item No.","@@"&amp;$F264,"3 Posting Date",N$8,"58 Gen. Prod. Posting Group",$F$7)</t>
  </si>
  <si>
    <t>=NL("First","27 Item","3 Description","1 No.","@@"&amp;$F246)</t>
  </si>
  <si>
    <t>=NL("First","27 Item","3 Description","1 No.","@@"&amp;$F247)</t>
  </si>
  <si>
    <t>=NL("First","27 Item","3 Description","1 No.","@@"&amp;$F248)</t>
  </si>
  <si>
    <t>=NL("First","27 Item","3 Description","1 No.","@@"&amp;$F249)</t>
  </si>
  <si>
    <t>=NL("First","27 Item","3 Description","1 No.","@@"&amp;$F250)</t>
  </si>
  <si>
    <t>=NL("First","27 Item","22 Unit Cost","1 No.","@@"&amp;$F246)</t>
  </si>
  <si>
    <t>=NL("First","27 Item","22 Unit Cost","1 No.","@@"&amp;$F247)</t>
  </si>
  <si>
    <t>=NL("First","27 Item","22 Unit Cost","1 No.","@@"&amp;$F248)</t>
  </si>
  <si>
    <t>=NL("First","27 Item","22 Unit Cost","1 No.","@@"&amp;$F249)</t>
  </si>
  <si>
    <t>=NL("First","27 Item","22 Unit Cost","1 No.","@@"&amp;$F250)</t>
  </si>
  <si>
    <t>=-NL("Sum","5802 Value Entry","14 Invoiced Quantity","41 Source Type","Customer","4 Item Ledger Entry Type","Sale","2 Item No.","@@"&amp;$F246,"3 Posting Date",I$8,"58 Gen. Prod. Posting Group",$F$7)</t>
  </si>
  <si>
    <t>=-NL("Sum","5802 Value Entry","14 Invoiced Quantity","41 Source Type","Customer","4 Item Ledger Entry Type","Sale","2 Item No.","@@"&amp;$F247,"3 Posting Date",I$8,"58 Gen. Prod. Posting Group",$F$7)</t>
  </si>
  <si>
    <t>=-NL("Sum","5802 Value Entry","14 Invoiced Quantity","41 Source Type","Customer","4 Item Ledger Entry Type","Sale","2 Item No.","@@"&amp;$F248,"3 Posting Date",I$8,"58 Gen. Prod. Posting Group",$F$7)</t>
  </si>
  <si>
    <t>=-NL("Sum","5802 Value Entry","14 Invoiced Quantity","41 Source Type","Customer","4 Item Ledger Entry Type","Sale","2 Item No.","@@"&amp;$F249,"3 Posting Date",I$8,"58 Gen. Prod. Posting Group",$F$7)</t>
  </si>
  <si>
    <t>=-NL("Sum","5802 Value Entry","14 Invoiced Quantity","41 Source Type","Customer","4 Item Ledger Entry Type","Sale","2 Item No.","@@"&amp;$F250,"3 Posting Date",I$8,"58 Gen. Prod. Posting Group",$F$7)</t>
  </si>
  <si>
    <t>=NL("Sum","5802 Value Entry","17 Sales Amount (Actual)","41 Source Type","Customer","4 Item Ledger Entry Type","Sale","2 Item No.","@@"&amp;$F246,"3 Posting Date",I$8,"58 Gen. Prod. Posting Group",$F$7)</t>
  </si>
  <si>
    <t>=NL("Sum","5802 Value Entry","17 Sales Amount (Actual)","41 Source Type","Customer","4 Item Ledger Entry Type","Sale","2 Item No.","@@"&amp;$F247,"3 Posting Date",I$8,"58 Gen. Prod. Posting Group",$F$7)</t>
  </si>
  <si>
    <t>=NL("Sum","5802 Value Entry","17 Sales Amount (Actual)","41 Source Type","Customer","4 Item Ledger Entry Type","Sale","2 Item No.","@@"&amp;$F248,"3 Posting Date",I$8,"58 Gen. Prod. Posting Group",$F$7)</t>
  </si>
  <si>
    <t>=NL("Sum","5802 Value Entry","17 Sales Amount (Actual)","41 Source Type","Customer","4 Item Ledger Entry Type","Sale","2 Item No.","@@"&amp;$F249,"3 Posting Date",I$8,"58 Gen. Prod. Posting Group",$F$7)</t>
  </si>
  <si>
    <t>=NL("Sum","5802 Value Entry","17 Sales Amount (Actual)","41 Source Type","Customer","4 Item Ledger Entry Type","Sale","2 Item No.","@@"&amp;$F250,"3 Posting Date",I$8,"58 Gen. Prod. Posting Group",$F$7)</t>
  </si>
  <si>
    <t>=-NL("Sum","5802 Value Entry","14 Invoiced Quantity","41 Source Type","Customer","4 Item Ledger Entry Type","Sale","2 Item No.","@@"&amp;$F246,"3 Posting Date",N$8,"58 Gen. Prod. Posting Group",$F$7)</t>
  </si>
  <si>
    <t>=-NL("Sum","5802 Value Entry","14 Invoiced Quantity","41 Source Type","Customer","4 Item Ledger Entry Type","Sale","2 Item No.","@@"&amp;$F247,"3 Posting Date",N$8,"58 Gen. Prod. Posting Group",$F$7)</t>
  </si>
  <si>
    <t>=-NL("Sum","5802 Value Entry","14 Invoiced Quantity","41 Source Type","Customer","4 Item Ledger Entry Type","Sale","2 Item No.","@@"&amp;$F248,"3 Posting Date",N$8,"58 Gen. Prod. Posting Group",$F$7)</t>
  </si>
  <si>
    <t>=-NL("Sum","5802 Value Entry","14 Invoiced Quantity","41 Source Type","Customer","4 Item Ledger Entry Type","Sale","2 Item No.","@@"&amp;$F249,"3 Posting Date",N$8,"58 Gen. Prod. Posting Group",$F$7)</t>
  </si>
  <si>
    <t>=-NL("Sum","5802 Value Entry","14 Invoiced Quantity","41 Source Type","Customer","4 Item Ledger Entry Type","Sale","2 Item No.","@@"&amp;$F250,"3 Posting Date",N$8,"58 Gen. Prod. Posting Group",$F$7)</t>
  </si>
  <si>
    <t>=NL("Sum","5802 Value Entry","17 Sales Amount (Actual)","41 Source Type","Customer","4 Item Ledger Entry Type","Sale","2 Item No.","@@"&amp;$F246,"3 Posting Date",N$8,"58 Gen. Prod. Posting Group",$F$7)</t>
  </si>
  <si>
    <t>=NL("Sum","5802 Value Entry","17 Sales Amount (Actual)","41 Source Type","Customer","4 Item Ledger Entry Type","Sale","2 Item No.","@@"&amp;$F247,"3 Posting Date",N$8,"58 Gen. Prod. Posting Group",$F$7)</t>
  </si>
  <si>
    <t>=NL("Sum","5802 Value Entry","17 Sales Amount (Actual)","41 Source Type","Customer","4 Item Ledger Entry Type","Sale","2 Item No.","@@"&amp;$F248,"3 Posting Date",N$8,"58 Gen. Prod. Posting Group",$F$7)</t>
  </si>
  <si>
    <t>=NL("Sum","5802 Value Entry","17 Sales Amount (Actual)","41 Source Type","Customer","4 Item Ledger Entry Type","Sale","2 Item No.","@@"&amp;$F249,"3 Posting Date",N$8,"58 Gen. Prod. Posting Group",$F$7)</t>
  </si>
  <si>
    <t>=NL("Sum","5802 Value Entry","17 Sales Amount (Actual)","41 Source Type","Customer","4 Item Ledger Entry Type","Sale","2 Item No.","@@"&amp;$F250,"3 Posting Date",N$8,"58 Gen. Prod. Posting Group",$F$7)</t>
  </si>
  <si>
    <t>=NL("First","27 Item","3 Description","1 No.","@@"&amp;$F237)</t>
  </si>
  <si>
    <t>=NL("First","27 Item","3 Description","1 No.","@@"&amp;$F238)</t>
  </si>
  <si>
    <t>=NL("First","27 Item","3 Description","1 No.","@@"&amp;$F239)</t>
  </si>
  <si>
    <t>=NL("First","27 Item","3 Description","1 No.","@@"&amp;$F240)</t>
  </si>
  <si>
    <t>=NL("First","27 Item","3 Description","1 No.","@@"&amp;$F241)</t>
  </si>
  <si>
    <t>=NL("First","27 Item","22 Unit Cost","1 No.","@@"&amp;$F237)</t>
  </si>
  <si>
    <t>=NL("First","27 Item","22 Unit Cost","1 No.","@@"&amp;$F238)</t>
  </si>
  <si>
    <t>=NL("First","27 Item","22 Unit Cost","1 No.","@@"&amp;$F239)</t>
  </si>
  <si>
    <t>=NL("First","27 Item","22 Unit Cost","1 No.","@@"&amp;$F240)</t>
  </si>
  <si>
    <t>=NL("First","27 Item","22 Unit Cost","1 No.","@@"&amp;$F241)</t>
  </si>
  <si>
    <t>=-NL("Sum","5802 Value Entry","14 Invoiced Quantity","41 Source Type","Customer","4 Item Ledger Entry Type","Sale","2 Item No.","@@"&amp;$F237,"3 Posting Date",I$8,"58 Gen. Prod. Posting Group",$F$7)</t>
  </si>
  <si>
    <t>=-NL("Sum","5802 Value Entry","14 Invoiced Quantity","41 Source Type","Customer","4 Item Ledger Entry Type","Sale","2 Item No.","@@"&amp;$F238,"3 Posting Date",I$8,"58 Gen. Prod. Posting Group",$F$7)</t>
  </si>
  <si>
    <t>=-NL("Sum","5802 Value Entry","14 Invoiced Quantity","41 Source Type","Customer","4 Item Ledger Entry Type","Sale","2 Item No.","@@"&amp;$F239,"3 Posting Date",I$8,"58 Gen. Prod. Posting Group",$F$7)</t>
  </si>
  <si>
    <t>=-NL("Sum","5802 Value Entry","14 Invoiced Quantity","41 Source Type","Customer","4 Item Ledger Entry Type","Sale","2 Item No.","@@"&amp;$F240,"3 Posting Date",I$8,"58 Gen. Prod. Posting Group",$F$7)</t>
  </si>
  <si>
    <t>=-NL("Sum","5802 Value Entry","14 Invoiced Quantity","41 Source Type","Customer","4 Item Ledger Entry Type","Sale","2 Item No.","@@"&amp;$F241,"3 Posting Date",I$8,"58 Gen. Prod. Posting Group",$F$7)</t>
  </si>
  <si>
    <t>=NL("Sum","5802 Value Entry","17 Sales Amount (Actual)","41 Source Type","Customer","4 Item Ledger Entry Type","Sale","2 Item No.","@@"&amp;$F237,"3 Posting Date",I$8,"58 Gen. Prod. Posting Group",$F$7)</t>
  </si>
  <si>
    <t>=NL("Sum","5802 Value Entry","17 Sales Amount (Actual)","41 Source Type","Customer","4 Item Ledger Entry Type","Sale","2 Item No.","@@"&amp;$F238,"3 Posting Date",I$8,"58 Gen. Prod. Posting Group",$F$7)</t>
  </si>
  <si>
    <t>=NL("Sum","5802 Value Entry","17 Sales Amount (Actual)","41 Source Type","Customer","4 Item Ledger Entry Type","Sale","2 Item No.","@@"&amp;$F239,"3 Posting Date",I$8,"58 Gen. Prod. Posting Group",$F$7)</t>
  </si>
  <si>
    <t>=NL("Sum","5802 Value Entry","17 Sales Amount (Actual)","41 Source Type","Customer","4 Item Ledger Entry Type","Sale","2 Item No.","@@"&amp;$F240,"3 Posting Date",I$8,"58 Gen. Prod. Posting Group",$F$7)</t>
  </si>
  <si>
    <t>=NL("Sum","5802 Value Entry","17 Sales Amount (Actual)","41 Source Type","Customer","4 Item Ledger Entry Type","Sale","2 Item No.","@@"&amp;$F241,"3 Posting Date",I$8,"58 Gen. Prod. Posting Group",$F$7)</t>
  </si>
  <si>
    <t>=-NL("Sum","5802 Value Entry","14 Invoiced Quantity","41 Source Type","Customer","4 Item Ledger Entry Type","Sale","2 Item No.","@@"&amp;$F237,"3 Posting Date",N$8,"58 Gen. Prod. Posting Group",$F$7)</t>
  </si>
  <si>
    <t>=-NL("Sum","5802 Value Entry","14 Invoiced Quantity","41 Source Type","Customer","4 Item Ledger Entry Type","Sale","2 Item No.","@@"&amp;$F238,"3 Posting Date",N$8,"58 Gen. Prod. Posting Group",$F$7)</t>
  </si>
  <si>
    <t>=-NL("Sum","5802 Value Entry","14 Invoiced Quantity","41 Source Type","Customer","4 Item Ledger Entry Type","Sale","2 Item No.","@@"&amp;$F239,"3 Posting Date",N$8,"58 Gen. Prod. Posting Group",$F$7)</t>
  </si>
  <si>
    <t>=-NL("Sum","5802 Value Entry","14 Invoiced Quantity","41 Source Type","Customer","4 Item Ledger Entry Type","Sale","2 Item No.","@@"&amp;$F240,"3 Posting Date",N$8,"58 Gen. Prod. Posting Group",$F$7)</t>
  </si>
  <si>
    <t>=-NL("Sum","5802 Value Entry","14 Invoiced Quantity","41 Source Type","Customer","4 Item Ledger Entry Type","Sale","2 Item No.","@@"&amp;$F241,"3 Posting Date",N$8,"58 Gen. Prod. Posting Group",$F$7)</t>
  </si>
  <si>
    <t>=NL("Sum","5802 Value Entry","17 Sales Amount (Actual)","41 Source Type","Customer","4 Item Ledger Entry Type","Sale","2 Item No.","@@"&amp;$F237,"3 Posting Date",N$8,"58 Gen. Prod. Posting Group",$F$7)</t>
  </si>
  <si>
    <t>=NL("Sum","5802 Value Entry","17 Sales Amount (Actual)","41 Source Type","Customer","4 Item Ledger Entry Type","Sale","2 Item No.","@@"&amp;$F238,"3 Posting Date",N$8,"58 Gen. Prod. Posting Group",$F$7)</t>
  </si>
  <si>
    <t>=NL("Sum","5802 Value Entry","17 Sales Amount (Actual)","41 Source Type","Customer","4 Item Ledger Entry Type","Sale","2 Item No.","@@"&amp;$F239,"3 Posting Date",N$8,"58 Gen. Prod. Posting Group",$F$7)</t>
  </si>
  <si>
    <t>=NL("Sum","5802 Value Entry","17 Sales Amount (Actual)","41 Source Type","Customer","4 Item Ledger Entry Type","Sale","2 Item No.","@@"&amp;$F240,"3 Posting Date",N$8,"58 Gen. Prod. Posting Group",$F$7)</t>
  </si>
  <si>
    <t>=NL("Sum","5802 Value Entry","17 Sales Amount (Actual)","41 Source Type","Customer","4 Item Ledger Entry Type","Sale","2 Item No.","@@"&amp;$F241,"3 Posting Date",N$8,"58 Gen. Prod. Posting Group",$F$7)</t>
  </si>
  <si>
    <t>=NL("First","27 Item","3 Description","1 No.","@@"&amp;$F223)</t>
  </si>
  <si>
    <t>=NL("First","27 Item","3 Description","1 No.","@@"&amp;$F224)</t>
  </si>
  <si>
    <t>=NL("First","27 Item","3 Description","1 No.","@@"&amp;$F225)</t>
  </si>
  <si>
    <t>=NL("First","27 Item","3 Description","1 No.","@@"&amp;$F226)</t>
  </si>
  <si>
    <t>=NL("First","27 Item","3 Description","1 No.","@@"&amp;$F227)</t>
  </si>
  <si>
    <t>=NL("First","27 Item","22 Unit Cost","1 No.","@@"&amp;$F223)</t>
  </si>
  <si>
    <t>=NL("First","27 Item","22 Unit Cost","1 No.","@@"&amp;$F224)</t>
  </si>
  <si>
    <t>=NL("First","27 Item","22 Unit Cost","1 No.","@@"&amp;$F225)</t>
  </si>
  <si>
    <t>=NL("First","27 Item","22 Unit Cost","1 No.","@@"&amp;$F226)</t>
  </si>
  <si>
    <t>=NL("First","27 Item","22 Unit Cost","1 No.","@@"&amp;$F227)</t>
  </si>
  <si>
    <t>=-NL("Sum","5802 Value Entry","14 Invoiced Quantity","41 Source Type","Customer","4 Item Ledger Entry Type","Sale","2 Item No.","@@"&amp;$F223,"3 Posting Date",I$8,"58 Gen. Prod. Posting Group",$F$7)</t>
  </si>
  <si>
    <t>=-NL("Sum","5802 Value Entry","14 Invoiced Quantity","41 Source Type","Customer","4 Item Ledger Entry Type","Sale","2 Item No.","@@"&amp;$F224,"3 Posting Date",I$8,"58 Gen. Prod. Posting Group",$F$7)</t>
  </si>
  <si>
    <t>=-NL("Sum","5802 Value Entry","14 Invoiced Quantity","41 Source Type","Customer","4 Item Ledger Entry Type","Sale","2 Item No.","@@"&amp;$F225,"3 Posting Date",I$8,"58 Gen. Prod. Posting Group",$F$7)</t>
  </si>
  <si>
    <t>=-NL("Sum","5802 Value Entry","14 Invoiced Quantity","41 Source Type","Customer","4 Item Ledger Entry Type","Sale","2 Item No.","@@"&amp;$F226,"3 Posting Date",I$8,"58 Gen. Prod. Posting Group",$F$7)</t>
  </si>
  <si>
    <t>=-NL("Sum","5802 Value Entry","14 Invoiced Quantity","41 Source Type","Customer","4 Item Ledger Entry Type","Sale","2 Item No.","@@"&amp;$F227,"3 Posting Date",I$8,"58 Gen. Prod. Posting Group",$F$7)</t>
  </si>
  <si>
    <t>=NL("Sum","5802 Value Entry","17 Sales Amount (Actual)","41 Source Type","Customer","4 Item Ledger Entry Type","Sale","2 Item No.","@@"&amp;$F223,"3 Posting Date",I$8,"58 Gen. Prod. Posting Group",$F$7)</t>
  </si>
  <si>
    <t>=NL("Sum","5802 Value Entry","17 Sales Amount (Actual)","41 Source Type","Customer","4 Item Ledger Entry Type","Sale","2 Item No.","@@"&amp;$F224,"3 Posting Date",I$8,"58 Gen. Prod. Posting Group",$F$7)</t>
  </si>
  <si>
    <t>=NL("Sum","5802 Value Entry","17 Sales Amount (Actual)","41 Source Type","Customer","4 Item Ledger Entry Type","Sale","2 Item No.","@@"&amp;$F225,"3 Posting Date",I$8,"58 Gen. Prod. Posting Group",$F$7)</t>
  </si>
  <si>
    <t>=NL("Sum","5802 Value Entry","17 Sales Amount (Actual)","41 Source Type","Customer","4 Item Ledger Entry Type","Sale","2 Item No.","@@"&amp;$F226,"3 Posting Date",I$8,"58 Gen. Prod. Posting Group",$F$7)</t>
  </si>
  <si>
    <t>=NL("Sum","5802 Value Entry","17 Sales Amount (Actual)","41 Source Type","Customer","4 Item Ledger Entry Type","Sale","2 Item No.","@@"&amp;$F227,"3 Posting Date",I$8,"58 Gen. Prod. Posting Group",$F$7)</t>
  </si>
  <si>
    <t>=-NL("Sum","5802 Value Entry","14 Invoiced Quantity","41 Source Type","Customer","4 Item Ledger Entry Type","Sale","2 Item No.","@@"&amp;$F223,"3 Posting Date",N$8,"58 Gen. Prod. Posting Group",$F$7)</t>
  </si>
  <si>
    <t>=-NL("Sum","5802 Value Entry","14 Invoiced Quantity","41 Source Type","Customer","4 Item Ledger Entry Type","Sale","2 Item No.","@@"&amp;$F224,"3 Posting Date",N$8,"58 Gen. Prod. Posting Group",$F$7)</t>
  </si>
  <si>
    <t>=-NL("Sum","5802 Value Entry","14 Invoiced Quantity","41 Source Type","Customer","4 Item Ledger Entry Type","Sale","2 Item No.","@@"&amp;$F225,"3 Posting Date",N$8,"58 Gen. Prod. Posting Group",$F$7)</t>
  </si>
  <si>
    <t>=-NL("Sum","5802 Value Entry","14 Invoiced Quantity","41 Source Type","Customer","4 Item Ledger Entry Type","Sale","2 Item No.","@@"&amp;$F226,"3 Posting Date",N$8,"58 Gen. Prod. Posting Group",$F$7)</t>
  </si>
  <si>
    <t>=-NL("Sum","5802 Value Entry","14 Invoiced Quantity","41 Source Type","Customer","4 Item Ledger Entry Type","Sale","2 Item No.","@@"&amp;$F227,"3 Posting Date",N$8,"58 Gen. Prod. Posting Group",$F$7)</t>
  </si>
  <si>
    <t>=NL("Sum","5802 Value Entry","17 Sales Amount (Actual)","41 Source Type","Customer","4 Item Ledger Entry Type","Sale","2 Item No.","@@"&amp;$F223,"3 Posting Date",N$8,"58 Gen. Prod. Posting Group",$F$7)</t>
  </si>
  <si>
    <t>=NL("Sum","5802 Value Entry","17 Sales Amount (Actual)","41 Source Type","Customer","4 Item Ledger Entry Type","Sale","2 Item No.","@@"&amp;$F224,"3 Posting Date",N$8,"58 Gen. Prod. Posting Group",$F$7)</t>
  </si>
  <si>
    <t>=NL("Sum","5802 Value Entry","17 Sales Amount (Actual)","41 Source Type","Customer","4 Item Ledger Entry Type","Sale","2 Item No.","@@"&amp;$F225,"3 Posting Date",N$8,"58 Gen. Prod. Posting Group",$F$7)</t>
  </si>
  <si>
    <t>=NL("Sum","5802 Value Entry","17 Sales Amount (Actual)","41 Source Type","Customer","4 Item Ledger Entry Type","Sale","2 Item No.","@@"&amp;$F226,"3 Posting Date",N$8,"58 Gen. Prod. Posting Group",$F$7)</t>
  </si>
  <si>
    <t>=NL("Sum","5802 Value Entry","17 Sales Amount (Actual)","41 Source Type","Customer","4 Item Ledger Entry Type","Sale","2 Item No.","@@"&amp;$F227,"3 Posting Date",N$8,"58 Gen. Prod. Posting Group",$F$7)</t>
  </si>
  <si>
    <t>=NL("First","27 Item","3 Description","1 No.","@@"&amp;$F204)</t>
  </si>
  <si>
    <t>=NL("First","27 Item","3 Description","1 No.","@@"&amp;$F205)</t>
  </si>
  <si>
    <t>=NL("First","27 Item","3 Description","1 No.","@@"&amp;$F206)</t>
  </si>
  <si>
    <t>=NL("First","27 Item","3 Description","1 No.","@@"&amp;$F207)</t>
  </si>
  <si>
    <t>=NL("First","27 Item","3 Description","1 No.","@@"&amp;$F208)</t>
  </si>
  <si>
    <t>=NL("First","27 Item","3 Description","1 No.","@@"&amp;$F213)</t>
  </si>
  <si>
    <t>=NL("First","27 Item","3 Description","1 No.","@@"&amp;$F214)</t>
  </si>
  <si>
    <t>=NL("First","27 Item","3 Description","1 No.","@@"&amp;$F215)</t>
  </si>
  <si>
    <t>=NL("First","27 Item","3 Description","1 No.","@@"&amp;$F216)</t>
  </si>
  <si>
    <t>=NL("First","27 Item","3 Description","1 No.","@@"&amp;$F217)</t>
  </si>
  <si>
    <t>=NL("First","27 Item","3 Description","1 No.","@@"&amp;$F218)</t>
  </si>
  <si>
    <t>=NL("First","27 Item","22 Unit Cost","1 No.","@@"&amp;$F204)</t>
  </si>
  <si>
    <t>=NL("First","27 Item","22 Unit Cost","1 No.","@@"&amp;$F205)</t>
  </si>
  <si>
    <t>=NL("First","27 Item","22 Unit Cost","1 No.","@@"&amp;$F206)</t>
  </si>
  <si>
    <t>=NL("First","27 Item","22 Unit Cost","1 No.","@@"&amp;$F207)</t>
  </si>
  <si>
    <t>=NL("First","27 Item","22 Unit Cost","1 No.","@@"&amp;$F208)</t>
  </si>
  <si>
    <t>=NL("First","27 Item","22 Unit Cost","1 No.","@@"&amp;$F213)</t>
  </si>
  <si>
    <t>=NL("First","27 Item","22 Unit Cost","1 No.","@@"&amp;$F214)</t>
  </si>
  <si>
    <t>=NL("First","27 Item","22 Unit Cost","1 No.","@@"&amp;$F215)</t>
  </si>
  <si>
    <t>=NL("First","27 Item","22 Unit Cost","1 No.","@@"&amp;$F216)</t>
  </si>
  <si>
    <t>=NL("First","27 Item","22 Unit Cost","1 No.","@@"&amp;$F217)</t>
  </si>
  <si>
    <t>=NL("First","27 Item","22 Unit Cost","1 No.","@@"&amp;$F218)</t>
  </si>
  <si>
    <t>=-NL("Sum","5802 Value Entry","14 Invoiced Quantity","41 Source Type","Customer","4 Item Ledger Entry Type","Sale","2 Item No.","@@"&amp;$F204,"3 Posting Date",I$8,"58 Gen. Prod. Posting Group",$F$7)</t>
  </si>
  <si>
    <t>=-NL("Sum","5802 Value Entry","14 Invoiced Quantity","41 Source Type","Customer","4 Item Ledger Entry Type","Sale","2 Item No.","@@"&amp;$F205,"3 Posting Date",I$8,"58 Gen. Prod. Posting Group",$F$7)</t>
  </si>
  <si>
    <t>=-NL("Sum","5802 Value Entry","14 Invoiced Quantity","41 Source Type","Customer","4 Item Ledger Entry Type","Sale","2 Item No.","@@"&amp;$F206,"3 Posting Date",I$8,"58 Gen. Prod. Posting Group",$F$7)</t>
  </si>
  <si>
    <t>=-NL("Sum","5802 Value Entry","14 Invoiced Quantity","41 Source Type","Customer","4 Item Ledger Entry Type","Sale","2 Item No.","@@"&amp;$F207,"3 Posting Date",I$8,"58 Gen. Prod. Posting Group",$F$7)</t>
  </si>
  <si>
    <t>=-NL("Sum","5802 Value Entry","14 Invoiced Quantity","41 Source Type","Customer","4 Item Ledger Entry Type","Sale","2 Item No.","@@"&amp;$F208,"3 Posting Date",I$8,"58 Gen. Prod. Posting Group",$F$7)</t>
  </si>
  <si>
    <t>=-NL("Sum","5802 Value Entry","14 Invoiced Quantity","41 Source Type","Customer","4 Item Ledger Entry Type","Sale","2 Item No.","@@"&amp;$F213,"3 Posting Date",I$8,"58 Gen. Prod. Posting Group",$F$7)</t>
  </si>
  <si>
    <t>=-NL("Sum","5802 Value Entry","14 Invoiced Quantity","41 Source Type","Customer","4 Item Ledger Entry Type","Sale","2 Item No.","@@"&amp;$F214,"3 Posting Date",I$8,"58 Gen. Prod. Posting Group",$F$7)</t>
  </si>
  <si>
    <t>=-NL("Sum","5802 Value Entry","14 Invoiced Quantity","41 Source Type","Customer","4 Item Ledger Entry Type","Sale","2 Item No.","@@"&amp;$F215,"3 Posting Date",I$8,"58 Gen. Prod. Posting Group",$F$7)</t>
  </si>
  <si>
    <t>=-NL("Sum","5802 Value Entry","14 Invoiced Quantity","41 Source Type","Customer","4 Item Ledger Entry Type","Sale","2 Item No.","@@"&amp;$F216,"3 Posting Date",I$8,"58 Gen. Prod. Posting Group",$F$7)</t>
  </si>
  <si>
    <t>=-NL("Sum","5802 Value Entry","14 Invoiced Quantity","41 Source Type","Customer","4 Item Ledger Entry Type","Sale","2 Item No.","@@"&amp;$F217,"3 Posting Date",I$8,"58 Gen. Prod. Posting Group",$F$7)</t>
  </si>
  <si>
    <t>=-NL("Sum","5802 Value Entry","14 Invoiced Quantity","41 Source Type","Customer","4 Item Ledger Entry Type","Sale","2 Item No.","@@"&amp;$F218,"3 Posting Date",I$8,"58 Gen. Prod. Posting Group",$F$7)</t>
  </si>
  <si>
    <t>=NL("Sum","5802 Value Entry","17 Sales Amount (Actual)","41 Source Type","Customer","4 Item Ledger Entry Type","Sale","2 Item No.","@@"&amp;$F204,"3 Posting Date",I$8,"58 Gen. Prod. Posting Group",$F$7)</t>
  </si>
  <si>
    <t>=NL("Sum","5802 Value Entry","17 Sales Amount (Actual)","41 Source Type","Customer","4 Item Ledger Entry Type","Sale","2 Item No.","@@"&amp;$F205,"3 Posting Date",I$8,"58 Gen. Prod. Posting Group",$F$7)</t>
  </si>
  <si>
    <t>=NL("Sum","5802 Value Entry","17 Sales Amount (Actual)","41 Source Type","Customer","4 Item Ledger Entry Type","Sale","2 Item No.","@@"&amp;$F206,"3 Posting Date",I$8,"58 Gen. Prod. Posting Group",$F$7)</t>
  </si>
  <si>
    <t>=NL("Sum","5802 Value Entry","17 Sales Amount (Actual)","41 Source Type","Customer","4 Item Ledger Entry Type","Sale","2 Item No.","@@"&amp;$F207,"3 Posting Date",I$8,"58 Gen. Prod. Posting Group",$F$7)</t>
  </si>
  <si>
    <t>=NL("Sum","5802 Value Entry","17 Sales Amount (Actual)","41 Source Type","Customer","4 Item Ledger Entry Type","Sale","2 Item No.","@@"&amp;$F208,"3 Posting Date",I$8,"58 Gen. Prod. Posting Group",$F$7)</t>
  </si>
  <si>
    <t>=NL("Sum","5802 Value Entry","17 Sales Amount (Actual)","41 Source Type","Customer","4 Item Ledger Entry Type","Sale","2 Item No.","@@"&amp;$F213,"3 Posting Date",I$8,"58 Gen. Prod. Posting Group",$F$7)</t>
  </si>
  <si>
    <t>=NL("Sum","5802 Value Entry","17 Sales Amount (Actual)","41 Source Type","Customer","4 Item Ledger Entry Type","Sale","2 Item No.","@@"&amp;$F214,"3 Posting Date",I$8,"58 Gen. Prod. Posting Group",$F$7)</t>
  </si>
  <si>
    <t>=NL("Sum","5802 Value Entry","17 Sales Amount (Actual)","41 Source Type","Customer","4 Item Ledger Entry Type","Sale","2 Item No.","@@"&amp;$F215,"3 Posting Date",I$8,"58 Gen. Prod. Posting Group",$F$7)</t>
  </si>
  <si>
    <t>=NL("Sum","5802 Value Entry","17 Sales Amount (Actual)","41 Source Type","Customer","4 Item Ledger Entry Type","Sale","2 Item No.","@@"&amp;$F216,"3 Posting Date",I$8,"58 Gen. Prod. Posting Group",$F$7)</t>
  </si>
  <si>
    <t>=NL("Sum","5802 Value Entry","17 Sales Amount (Actual)","41 Source Type","Customer","4 Item Ledger Entry Type","Sale","2 Item No.","@@"&amp;$F217,"3 Posting Date",I$8,"58 Gen. Prod. Posting Group",$F$7)</t>
  </si>
  <si>
    <t>=NL("Sum","5802 Value Entry","17 Sales Amount (Actual)","41 Source Type","Customer","4 Item Ledger Entry Type","Sale","2 Item No.","@@"&amp;$F218,"3 Posting Date",I$8,"58 Gen. Prod. Posting Group",$F$7)</t>
  </si>
  <si>
    <t>=-NL("Sum","5802 Value Entry","14 Invoiced Quantity","41 Source Type","Customer","4 Item Ledger Entry Type","Sale","2 Item No.","@@"&amp;$F204,"3 Posting Date",N$8,"58 Gen. Prod. Posting Group",$F$7)</t>
  </si>
  <si>
    <t>=-NL("Sum","5802 Value Entry","14 Invoiced Quantity","41 Source Type","Customer","4 Item Ledger Entry Type","Sale","2 Item No.","@@"&amp;$F205,"3 Posting Date",N$8,"58 Gen. Prod. Posting Group",$F$7)</t>
  </si>
  <si>
    <t>=-NL("Sum","5802 Value Entry","14 Invoiced Quantity","41 Source Type","Customer","4 Item Ledger Entry Type","Sale","2 Item No.","@@"&amp;$F206,"3 Posting Date",N$8,"58 Gen. Prod. Posting Group",$F$7)</t>
  </si>
  <si>
    <t>=-NL("Sum","5802 Value Entry","14 Invoiced Quantity","41 Source Type","Customer","4 Item Ledger Entry Type","Sale","2 Item No.","@@"&amp;$F207,"3 Posting Date",N$8,"58 Gen. Prod. Posting Group",$F$7)</t>
  </si>
  <si>
    <t>=-NL("Sum","5802 Value Entry","14 Invoiced Quantity","41 Source Type","Customer","4 Item Ledger Entry Type","Sale","2 Item No.","@@"&amp;$F208,"3 Posting Date",N$8,"58 Gen. Prod. Posting Group",$F$7)</t>
  </si>
  <si>
    <t>=-NL("Sum","5802 Value Entry","14 Invoiced Quantity","41 Source Type","Customer","4 Item Ledger Entry Type","Sale","2 Item No.","@@"&amp;$F213,"3 Posting Date",N$8,"58 Gen. Prod. Posting Group",$F$7)</t>
  </si>
  <si>
    <t>=-NL("Sum","5802 Value Entry","14 Invoiced Quantity","41 Source Type","Customer","4 Item Ledger Entry Type","Sale","2 Item No.","@@"&amp;$F214,"3 Posting Date",N$8,"58 Gen. Prod. Posting Group",$F$7)</t>
  </si>
  <si>
    <t>=-NL("Sum","5802 Value Entry","14 Invoiced Quantity","41 Source Type","Customer","4 Item Ledger Entry Type","Sale","2 Item No.","@@"&amp;$F215,"3 Posting Date",N$8,"58 Gen. Prod. Posting Group",$F$7)</t>
  </si>
  <si>
    <t>=-NL("Sum","5802 Value Entry","14 Invoiced Quantity","41 Source Type","Customer","4 Item Ledger Entry Type","Sale","2 Item No.","@@"&amp;$F216,"3 Posting Date",N$8,"58 Gen. Prod. Posting Group",$F$7)</t>
  </si>
  <si>
    <t>=-NL("Sum","5802 Value Entry","14 Invoiced Quantity","41 Source Type","Customer","4 Item Ledger Entry Type","Sale","2 Item No.","@@"&amp;$F217,"3 Posting Date",N$8,"58 Gen. Prod. Posting Group",$F$7)</t>
  </si>
  <si>
    <t>=-NL("Sum","5802 Value Entry","14 Invoiced Quantity","41 Source Type","Customer","4 Item Ledger Entry Type","Sale","2 Item No.","@@"&amp;$F218,"3 Posting Date",N$8,"58 Gen. Prod. Posting Group",$F$7)</t>
  </si>
  <si>
    <t>=NL("Sum","5802 Value Entry","17 Sales Amount (Actual)","41 Source Type","Customer","4 Item Ledger Entry Type","Sale","2 Item No.","@@"&amp;$F204,"3 Posting Date",N$8,"58 Gen. Prod. Posting Group",$F$7)</t>
  </si>
  <si>
    <t>=NL("Sum","5802 Value Entry","17 Sales Amount (Actual)","41 Source Type","Customer","4 Item Ledger Entry Type","Sale","2 Item No.","@@"&amp;$F205,"3 Posting Date",N$8,"58 Gen. Prod. Posting Group",$F$7)</t>
  </si>
  <si>
    <t>=NL("Sum","5802 Value Entry","17 Sales Amount (Actual)","41 Source Type","Customer","4 Item Ledger Entry Type","Sale","2 Item No.","@@"&amp;$F206,"3 Posting Date",N$8,"58 Gen. Prod. Posting Group",$F$7)</t>
  </si>
  <si>
    <t>=NL("Sum","5802 Value Entry","17 Sales Amount (Actual)","41 Source Type","Customer","4 Item Ledger Entry Type","Sale","2 Item No.","@@"&amp;$F207,"3 Posting Date",N$8,"58 Gen. Prod. Posting Group",$F$7)</t>
  </si>
  <si>
    <t>=NL("Sum","5802 Value Entry","17 Sales Amount (Actual)","41 Source Type","Customer","4 Item Ledger Entry Type","Sale","2 Item No.","@@"&amp;$F208,"3 Posting Date",N$8,"58 Gen. Prod. Posting Group",$F$7)</t>
  </si>
  <si>
    <t>=NL("Sum","5802 Value Entry","17 Sales Amount (Actual)","41 Source Type","Customer","4 Item Ledger Entry Type","Sale","2 Item No.","@@"&amp;$F213,"3 Posting Date",N$8,"58 Gen. Prod. Posting Group",$F$7)</t>
  </si>
  <si>
    <t>=NL("Sum","5802 Value Entry","17 Sales Amount (Actual)","41 Source Type","Customer","4 Item Ledger Entry Type","Sale","2 Item No.","@@"&amp;$F214,"3 Posting Date",N$8,"58 Gen. Prod. Posting Group",$F$7)</t>
  </si>
  <si>
    <t>=NL("Sum","5802 Value Entry","17 Sales Amount (Actual)","41 Source Type","Customer","4 Item Ledger Entry Type","Sale","2 Item No.","@@"&amp;$F215,"3 Posting Date",N$8,"58 Gen. Prod. Posting Group",$F$7)</t>
  </si>
  <si>
    <t>=NL("Sum","5802 Value Entry","17 Sales Amount (Actual)","41 Source Type","Customer","4 Item Ledger Entry Type","Sale","2 Item No.","@@"&amp;$F216,"3 Posting Date",N$8,"58 Gen. Prod. Posting Group",$F$7)</t>
  </si>
  <si>
    <t>=NL("Sum","5802 Value Entry","17 Sales Amount (Actual)","41 Source Type","Customer","4 Item Ledger Entry Type","Sale","2 Item No.","@@"&amp;$F217,"3 Posting Date",N$8,"58 Gen. Prod. Posting Group",$F$7)</t>
  </si>
  <si>
    <t>=NL("Sum","5802 Value Entry","17 Sales Amount (Actual)","41 Source Type","Customer","4 Item Ledger Entry Type","Sale","2 Item No.","@@"&amp;$F218,"3 Posting Date",N$8,"58 Gen. Prod. Posting Group",$F$7)</t>
  </si>
  <si>
    <t>=NL("First","27 Item","3 Description","1 No.","@@"&amp;$F195)</t>
  </si>
  <si>
    <t>=NL("First","27 Item","22 Unit Cost","1 No.","@@"&amp;$F195)</t>
  </si>
  <si>
    <t>=-NL("Sum","5802 Value Entry","14 Invoiced Quantity","41 Source Type","Customer","4 Item Ledger Entry Type","Sale","2 Item No.","@@"&amp;$F195,"3 Posting Date",I$8,"58 Gen. Prod. Posting Group",$F$7)</t>
  </si>
  <si>
    <t>=NL("Sum","5802 Value Entry","17 Sales Amount (Actual)","41 Source Type","Customer","4 Item Ledger Entry Type","Sale","2 Item No.","@@"&amp;$F195,"3 Posting Date",I$8,"58 Gen. Prod. Posting Group",$F$7)</t>
  </si>
  <si>
    <t>=-NL("Sum","5802 Value Entry","14 Invoiced Quantity","41 Source Type","Customer","4 Item Ledger Entry Type","Sale","2 Item No.","@@"&amp;$F195,"3 Posting Date",N$8,"58 Gen. Prod. Posting Group",$F$7)</t>
  </si>
  <si>
    <t>=NL("Sum","5802 Value Entry","17 Sales Amount (Actual)","41 Source Type","Customer","4 Item Ledger Entry Type","Sale","2 Item No.","@@"&amp;$F195,"3 Posting Date",N$8,"58 Gen. Prod. Posting Group",$F$7)</t>
  </si>
  <si>
    <t>=NL("First","27 Item","3 Description","1 No.","@@"&amp;$F186)</t>
  </si>
  <si>
    <t>=NL("First","27 Item","22 Unit Cost","1 No.","@@"&amp;$F186)</t>
  </si>
  <si>
    <t>=-NL("Sum","5802 Value Entry","14 Invoiced Quantity","41 Source Type","Customer","4 Item Ledger Entry Type","Sale","2 Item No.","@@"&amp;$F186,"3 Posting Date",I$8,"58 Gen. Prod. Posting Group",$F$7)</t>
  </si>
  <si>
    <t>=NL("Sum","5802 Value Entry","17 Sales Amount (Actual)","41 Source Type","Customer","4 Item Ledger Entry Type","Sale","2 Item No.","@@"&amp;$F186,"3 Posting Date",I$8,"58 Gen. Prod. Posting Group",$F$7)</t>
  </si>
  <si>
    <t>=-NL("Sum","5802 Value Entry","14 Invoiced Quantity","41 Source Type","Customer","4 Item Ledger Entry Type","Sale","2 Item No.","@@"&amp;$F186,"3 Posting Date",N$8,"58 Gen. Prod. Posting Group",$F$7)</t>
  </si>
  <si>
    <t>=NL("Sum","5802 Value Entry","17 Sales Amount (Actual)","41 Source Type","Customer","4 Item Ledger Entry Type","Sale","2 Item No.","@@"&amp;$F186,"3 Posting Date",N$8,"58 Gen. Prod. Posting Group",$F$7)</t>
  </si>
  <si>
    <t>=NL("First","27 Item","3 Description","1 No.","@@"&amp;$F173)</t>
  </si>
  <si>
    <t>=NL("First","27 Item","22 Unit Cost","1 No.","@@"&amp;$F173)</t>
  </si>
  <si>
    <t>=-NL("Sum","5802 Value Entry","14 Invoiced Quantity","41 Source Type","Customer","4 Item Ledger Entry Type","Sale","2 Item No.","@@"&amp;$F173,"3 Posting Date",I$8,"58 Gen. Prod. Posting Group",$F$7)</t>
  </si>
  <si>
    <t>=NL("Sum","5802 Value Entry","17 Sales Amount (Actual)","41 Source Type","Customer","4 Item Ledger Entry Type","Sale","2 Item No.","@@"&amp;$F173,"3 Posting Date",I$8,"58 Gen. Prod. Posting Group",$F$7)</t>
  </si>
  <si>
    <t>=-NL("Sum","5802 Value Entry","14 Invoiced Quantity","41 Source Type","Customer","4 Item Ledger Entry Type","Sale","2 Item No.","@@"&amp;$F173,"3 Posting Date",N$8,"58 Gen. Prod. Posting Group",$F$7)</t>
  </si>
  <si>
    <t>=NL("Sum","5802 Value Entry","17 Sales Amount (Actual)","41 Source Type","Customer","4 Item Ledger Entry Type","Sale","2 Item No.","@@"&amp;$F173,"3 Posting Date",N$8,"58 Gen. Prod. Posting Group",$F$7)</t>
  </si>
  <si>
    <t>=NL("First","27 Item","3 Description","1 No.","@@"&amp;$F164)</t>
  </si>
  <si>
    <t>=NL("First","27 Item","22 Unit Cost","1 No.","@@"&amp;$F164)</t>
  </si>
  <si>
    <t>=-NL("Sum","5802 Value Entry","14 Invoiced Quantity","41 Source Type","Customer","4 Item Ledger Entry Type","Sale","2 Item No.","@@"&amp;$F164,"3 Posting Date",I$8,"58 Gen. Prod. Posting Group",$F$7)</t>
  </si>
  <si>
    <t>=NL("Sum","5802 Value Entry","17 Sales Amount (Actual)","41 Source Type","Customer","4 Item Ledger Entry Type","Sale","2 Item No.","@@"&amp;$F164,"3 Posting Date",I$8,"58 Gen. Prod. Posting Group",$F$7)</t>
  </si>
  <si>
    <t>=-NL("Sum","5802 Value Entry","14 Invoiced Quantity","41 Source Type","Customer","4 Item Ledger Entry Type","Sale","2 Item No.","@@"&amp;$F164,"3 Posting Date",N$8,"58 Gen. Prod. Posting Group",$F$7)</t>
  </si>
  <si>
    <t>=NL("Sum","5802 Value Entry","17 Sales Amount (Actual)","41 Source Type","Customer","4 Item Ledger Entry Type","Sale","2 Item No.","@@"&amp;$F164,"3 Posting Date",N$8,"58 Gen. Prod. Posting Group",$F$7)</t>
  </si>
  <si>
    <t>=NL("First","27 Item","3 Description","1 No.","@@"&amp;$F151)</t>
  </si>
  <si>
    <t>=NL("First","27 Item","3 Description","1 No.","@@"&amp;$F152)</t>
  </si>
  <si>
    <t>=NL("First","27 Item","3 Description","1 No.","@@"&amp;$F153)</t>
  </si>
  <si>
    <t>=NL("First","27 Item","3 Description","1 No.","@@"&amp;$F154)</t>
  </si>
  <si>
    <t>=NL("First","27 Item","22 Unit Cost","1 No.","@@"&amp;$F151)</t>
  </si>
  <si>
    <t>=NL("First","27 Item","22 Unit Cost","1 No.","@@"&amp;$F152)</t>
  </si>
  <si>
    <t>=NL("First","27 Item","22 Unit Cost","1 No.","@@"&amp;$F153)</t>
  </si>
  <si>
    <t>=NL("First","27 Item","22 Unit Cost","1 No.","@@"&amp;$F154)</t>
  </si>
  <si>
    <t>=-NL("Sum","5802 Value Entry","14 Invoiced Quantity","41 Source Type","Customer","4 Item Ledger Entry Type","Sale","2 Item No.","@@"&amp;$F151,"3 Posting Date",I$8,"58 Gen. Prod. Posting Group",$F$7)</t>
  </si>
  <si>
    <t>=-NL("Sum","5802 Value Entry","14 Invoiced Quantity","41 Source Type","Customer","4 Item Ledger Entry Type","Sale","2 Item No.","@@"&amp;$F152,"3 Posting Date",I$8,"58 Gen. Prod. Posting Group",$F$7)</t>
  </si>
  <si>
    <t>=-NL("Sum","5802 Value Entry","14 Invoiced Quantity","41 Source Type","Customer","4 Item Ledger Entry Type","Sale","2 Item No.","@@"&amp;$F153,"3 Posting Date",I$8,"58 Gen. Prod. Posting Group",$F$7)</t>
  </si>
  <si>
    <t>=-NL("Sum","5802 Value Entry","14 Invoiced Quantity","41 Source Type","Customer","4 Item Ledger Entry Type","Sale","2 Item No.","@@"&amp;$F154,"3 Posting Date",I$8,"58 Gen. Prod. Posting Group",$F$7)</t>
  </si>
  <si>
    <t>=NL("Sum","5802 Value Entry","17 Sales Amount (Actual)","41 Source Type","Customer","4 Item Ledger Entry Type","Sale","2 Item No.","@@"&amp;$F151,"3 Posting Date",I$8,"58 Gen. Prod. Posting Group",$F$7)</t>
  </si>
  <si>
    <t>=NL("Sum","5802 Value Entry","17 Sales Amount (Actual)","41 Source Type","Customer","4 Item Ledger Entry Type","Sale","2 Item No.","@@"&amp;$F152,"3 Posting Date",I$8,"58 Gen. Prod. Posting Group",$F$7)</t>
  </si>
  <si>
    <t>=NL("Sum","5802 Value Entry","17 Sales Amount (Actual)","41 Source Type","Customer","4 Item Ledger Entry Type","Sale","2 Item No.","@@"&amp;$F153,"3 Posting Date",I$8,"58 Gen. Prod. Posting Group",$F$7)</t>
  </si>
  <si>
    <t>=NL("Sum","5802 Value Entry","17 Sales Amount (Actual)","41 Source Type","Customer","4 Item Ledger Entry Type","Sale","2 Item No.","@@"&amp;$F154,"3 Posting Date",I$8,"58 Gen. Prod. Posting Group",$F$7)</t>
  </si>
  <si>
    <t>=-NL("Sum","5802 Value Entry","14 Invoiced Quantity","41 Source Type","Customer","4 Item Ledger Entry Type","Sale","2 Item No.","@@"&amp;$F151,"3 Posting Date",N$8,"58 Gen. Prod. Posting Group",$F$7)</t>
  </si>
  <si>
    <t>=-NL("Sum","5802 Value Entry","14 Invoiced Quantity","41 Source Type","Customer","4 Item Ledger Entry Type","Sale","2 Item No.","@@"&amp;$F152,"3 Posting Date",N$8,"58 Gen. Prod. Posting Group",$F$7)</t>
  </si>
  <si>
    <t>=-NL("Sum","5802 Value Entry","14 Invoiced Quantity","41 Source Type","Customer","4 Item Ledger Entry Type","Sale","2 Item No.","@@"&amp;$F153,"3 Posting Date",N$8,"58 Gen. Prod. Posting Group",$F$7)</t>
  </si>
  <si>
    <t>=-NL("Sum","5802 Value Entry","14 Invoiced Quantity","41 Source Type","Customer","4 Item Ledger Entry Type","Sale","2 Item No.","@@"&amp;$F154,"3 Posting Date",N$8,"58 Gen. Prod. Posting Group",$F$7)</t>
  </si>
  <si>
    <t>=NL("Sum","5802 Value Entry","17 Sales Amount (Actual)","41 Source Type","Customer","4 Item Ledger Entry Type","Sale","2 Item No.","@@"&amp;$F151,"3 Posting Date",N$8,"58 Gen. Prod. Posting Group",$F$7)</t>
  </si>
  <si>
    <t>=NL("Sum","5802 Value Entry","17 Sales Amount (Actual)","41 Source Type","Customer","4 Item Ledger Entry Type","Sale","2 Item No.","@@"&amp;$F152,"3 Posting Date",N$8,"58 Gen. Prod. Posting Group",$F$7)</t>
  </si>
  <si>
    <t>=NL("Sum","5802 Value Entry","17 Sales Amount (Actual)","41 Source Type","Customer","4 Item Ledger Entry Type","Sale","2 Item No.","@@"&amp;$F153,"3 Posting Date",N$8,"58 Gen. Prod. Posting Group",$F$7)</t>
  </si>
  <si>
    <t>=NL("Sum","5802 Value Entry","17 Sales Amount (Actual)","41 Source Type","Customer","4 Item Ledger Entry Type","Sale","2 Item No.","@@"&amp;$F154,"3 Posting Date",N$8,"58 Gen. Prod. Posting Group",$F$7)</t>
  </si>
  <si>
    <t>=NL("First","27 Item","3 Description","1 No.","@@"&amp;$F142)</t>
  </si>
  <si>
    <t>=NL("First","27 Item","3 Description","1 No.","@@"&amp;$F143)</t>
  </si>
  <si>
    <t>=NL("First","27 Item","3 Description","1 No.","@@"&amp;$F144)</t>
  </si>
  <si>
    <t>=NL("First","27 Item","3 Description","1 No.","@@"&amp;$F145)</t>
  </si>
  <si>
    <t>=NL("First","27 Item","22 Unit Cost","1 No.","@@"&amp;$F142)</t>
  </si>
  <si>
    <t>=NL("First","27 Item","22 Unit Cost","1 No.","@@"&amp;$F143)</t>
  </si>
  <si>
    <t>=NL("First","27 Item","22 Unit Cost","1 No.","@@"&amp;$F144)</t>
  </si>
  <si>
    <t>=NL("First","27 Item","22 Unit Cost","1 No.","@@"&amp;$F145)</t>
  </si>
  <si>
    <t>=-NL("Sum","5802 Value Entry","14 Invoiced Quantity","41 Source Type","Customer","4 Item Ledger Entry Type","Sale","2 Item No.","@@"&amp;$F142,"3 Posting Date",I$8,"58 Gen. Prod. Posting Group",$F$7)</t>
  </si>
  <si>
    <t>=-NL("Sum","5802 Value Entry","14 Invoiced Quantity","41 Source Type","Customer","4 Item Ledger Entry Type","Sale","2 Item No.","@@"&amp;$F143,"3 Posting Date",I$8,"58 Gen. Prod. Posting Group",$F$7)</t>
  </si>
  <si>
    <t>=-NL("Sum","5802 Value Entry","14 Invoiced Quantity","41 Source Type","Customer","4 Item Ledger Entry Type","Sale","2 Item No.","@@"&amp;$F144,"3 Posting Date",I$8,"58 Gen. Prod. Posting Group",$F$7)</t>
  </si>
  <si>
    <t>=-NL("Sum","5802 Value Entry","14 Invoiced Quantity","41 Source Type","Customer","4 Item Ledger Entry Type","Sale","2 Item No.","@@"&amp;$F145,"3 Posting Date",I$8,"58 Gen. Prod. Posting Group",$F$7)</t>
  </si>
  <si>
    <t>=NL("Sum","5802 Value Entry","17 Sales Amount (Actual)","41 Source Type","Customer","4 Item Ledger Entry Type","Sale","2 Item No.","@@"&amp;$F142,"3 Posting Date",I$8,"58 Gen. Prod. Posting Group",$F$7)</t>
  </si>
  <si>
    <t>=NL("Sum","5802 Value Entry","17 Sales Amount (Actual)","41 Source Type","Customer","4 Item Ledger Entry Type","Sale","2 Item No.","@@"&amp;$F143,"3 Posting Date",I$8,"58 Gen. Prod. Posting Group",$F$7)</t>
  </si>
  <si>
    <t>=NL("Sum","5802 Value Entry","17 Sales Amount (Actual)","41 Source Type","Customer","4 Item Ledger Entry Type","Sale","2 Item No.","@@"&amp;$F144,"3 Posting Date",I$8,"58 Gen. Prod. Posting Group",$F$7)</t>
  </si>
  <si>
    <t>=NL("Sum","5802 Value Entry","17 Sales Amount (Actual)","41 Source Type","Customer","4 Item Ledger Entry Type","Sale","2 Item No.","@@"&amp;$F145,"3 Posting Date",I$8,"58 Gen. Prod. Posting Group",$F$7)</t>
  </si>
  <si>
    <t>=-NL("Sum","5802 Value Entry","14 Invoiced Quantity","41 Source Type","Customer","4 Item Ledger Entry Type","Sale","2 Item No.","@@"&amp;$F142,"3 Posting Date",N$8,"58 Gen. Prod. Posting Group",$F$7)</t>
  </si>
  <si>
    <t>=-NL("Sum","5802 Value Entry","14 Invoiced Quantity","41 Source Type","Customer","4 Item Ledger Entry Type","Sale","2 Item No.","@@"&amp;$F143,"3 Posting Date",N$8,"58 Gen. Prod. Posting Group",$F$7)</t>
  </si>
  <si>
    <t>=-NL("Sum","5802 Value Entry","14 Invoiced Quantity","41 Source Type","Customer","4 Item Ledger Entry Type","Sale","2 Item No.","@@"&amp;$F144,"3 Posting Date",N$8,"58 Gen. Prod. Posting Group",$F$7)</t>
  </si>
  <si>
    <t>=-NL("Sum","5802 Value Entry","14 Invoiced Quantity","41 Source Type","Customer","4 Item Ledger Entry Type","Sale","2 Item No.","@@"&amp;$F145,"3 Posting Date",N$8,"58 Gen. Prod. Posting Group",$F$7)</t>
  </si>
  <si>
    <t>=NL("Sum","5802 Value Entry","17 Sales Amount (Actual)","41 Source Type","Customer","4 Item Ledger Entry Type","Sale","2 Item No.","@@"&amp;$F142,"3 Posting Date",N$8,"58 Gen. Prod. Posting Group",$F$7)</t>
  </si>
  <si>
    <t>=NL("Sum","5802 Value Entry","17 Sales Amount (Actual)","41 Source Type","Customer","4 Item Ledger Entry Type","Sale","2 Item No.","@@"&amp;$F143,"3 Posting Date",N$8,"58 Gen. Prod. Posting Group",$F$7)</t>
  </si>
  <si>
    <t>=NL("Sum","5802 Value Entry","17 Sales Amount (Actual)","41 Source Type","Customer","4 Item Ledger Entry Type","Sale","2 Item No.","@@"&amp;$F144,"3 Posting Date",N$8,"58 Gen. Prod. Posting Group",$F$7)</t>
  </si>
  <si>
    <t>=NL("Sum","5802 Value Entry","17 Sales Amount (Actual)","41 Source Type","Customer","4 Item Ledger Entry Type","Sale","2 Item No.","@@"&amp;$F145,"3 Posting Date",N$8,"58 Gen. Prod. Posting Group",$F$7)</t>
  </si>
  <si>
    <t>=NL("First","27 Item","3 Description","1 No.","@@"&amp;$F133)</t>
  </si>
  <si>
    <t>=NL("First","27 Item","3 Description","1 No.","@@"&amp;$F134)</t>
  </si>
  <si>
    <t>=NL("First","27 Item","3 Description","1 No.","@@"&amp;$F135)</t>
  </si>
  <si>
    <t>=NL("First","27 Item","3 Description","1 No.","@@"&amp;$F136)</t>
  </si>
  <si>
    <t>=NL("First","27 Item","22 Unit Cost","1 No.","@@"&amp;$F133)</t>
  </si>
  <si>
    <t>=NL("First","27 Item","22 Unit Cost","1 No.","@@"&amp;$F134)</t>
  </si>
  <si>
    <t>=NL("First","27 Item","22 Unit Cost","1 No.","@@"&amp;$F135)</t>
  </si>
  <si>
    <t>=NL("First","27 Item","22 Unit Cost","1 No.","@@"&amp;$F136)</t>
  </si>
  <si>
    <t>=-NL("Sum","5802 Value Entry","14 Invoiced Quantity","41 Source Type","Customer","4 Item Ledger Entry Type","Sale","2 Item No.","@@"&amp;$F133,"3 Posting Date",I$8,"58 Gen. Prod. Posting Group",$F$7)</t>
  </si>
  <si>
    <t>=-NL("Sum","5802 Value Entry","14 Invoiced Quantity","41 Source Type","Customer","4 Item Ledger Entry Type","Sale","2 Item No.","@@"&amp;$F134,"3 Posting Date",I$8,"58 Gen. Prod. Posting Group",$F$7)</t>
  </si>
  <si>
    <t>=-NL("Sum","5802 Value Entry","14 Invoiced Quantity","41 Source Type","Customer","4 Item Ledger Entry Type","Sale","2 Item No.","@@"&amp;$F135,"3 Posting Date",I$8,"58 Gen. Prod. Posting Group",$F$7)</t>
  </si>
  <si>
    <t>=-NL("Sum","5802 Value Entry","14 Invoiced Quantity","41 Source Type","Customer","4 Item Ledger Entry Type","Sale","2 Item No.","@@"&amp;$F136,"3 Posting Date",I$8,"58 Gen. Prod. Posting Group",$F$7)</t>
  </si>
  <si>
    <t>=NL("Sum","5802 Value Entry","17 Sales Amount (Actual)","41 Source Type","Customer","4 Item Ledger Entry Type","Sale","2 Item No.","@@"&amp;$F133,"3 Posting Date",I$8,"58 Gen. Prod. Posting Group",$F$7)</t>
  </si>
  <si>
    <t>=NL("Sum","5802 Value Entry","17 Sales Amount (Actual)","41 Source Type","Customer","4 Item Ledger Entry Type","Sale","2 Item No.","@@"&amp;$F134,"3 Posting Date",I$8,"58 Gen. Prod. Posting Group",$F$7)</t>
  </si>
  <si>
    <t>=NL("Sum","5802 Value Entry","17 Sales Amount (Actual)","41 Source Type","Customer","4 Item Ledger Entry Type","Sale","2 Item No.","@@"&amp;$F135,"3 Posting Date",I$8,"58 Gen. Prod. Posting Group",$F$7)</t>
  </si>
  <si>
    <t>=NL("Sum","5802 Value Entry","17 Sales Amount (Actual)","41 Source Type","Customer","4 Item Ledger Entry Type","Sale","2 Item No.","@@"&amp;$F136,"3 Posting Date",I$8,"58 Gen. Prod. Posting Group",$F$7)</t>
  </si>
  <si>
    <t>=-NL("Sum","5802 Value Entry","14 Invoiced Quantity","41 Source Type","Customer","4 Item Ledger Entry Type","Sale","2 Item No.","@@"&amp;$F133,"3 Posting Date",N$8,"58 Gen. Prod. Posting Group",$F$7)</t>
  </si>
  <si>
    <t>=-NL("Sum","5802 Value Entry","14 Invoiced Quantity","41 Source Type","Customer","4 Item Ledger Entry Type","Sale","2 Item No.","@@"&amp;$F134,"3 Posting Date",N$8,"58 Gen. Prod. Posting Group",$F$7)</t>
  </si>
  <si>
    <t>=-NL("Sum","5802 Value Entry","14 Invoiced Quantity","41 Source Type","Customer","4 Item Ledger Entry Type","Sale","2 Item No.","@@"&amp;$F135,"3 Posting Date",N$8,"58 Gen. Prod. Posting Group",$F$7)</t>
  </si>
  <si>
    <t>=-NL("Sum","5802 Value Entry","14 Invoiced Quantity","41 Source Type","Customer","4 Item Ledger Entry Type","Sale","2 Item No.","@@"&amp;$F136,"3 Posting Date",N$8,"58 Gen. Prod. Posting Group",$F$7)</t>
  </si>
  <si>
    <t>=NL("Sum","5802 Value Entry","17 Sales Amount (Actual)","41 Source Type","Customer","4 Item Ledger Entry Type","Sale","2 Item No.","@@"&amp;$F133,"3 Posting Date",N$8,"58 Gen. Prod. Posting Group",$F$7)</t>
  </si>
  <si>
    <t>=NL("Sum","5802 Value Entry","17 Sales Amount (Actual)","41 Source Type","Customer","4 Item Ledger Entry Type","Sale","2 Item No.","@@"&amp;$F134,"3 Posting Date",N$8,"58 Gen. Prod. Posting Group",$F$7)</t>
  </si>
  <si>
    <t>=NL("Sum","5802 Value Entry","17 Sales Amount (Actual)","41 Source Type","Customer","4 Item Ledger Entry Type","Sale","2 Item No.","@@"&amp;$F135,"3 Posting Date",N$8,"58 Gen. Prod. Posting Group",$F$7)</t>
  </si>
  <si>
    <t>=NL("Sum","5802 Value Entry","17 Sales Amount (Actual)","41 Source Type","Customer","4 Item Ledger Entry Type","Sale","2 Item No.","@@"&amp;$F136,"3 Posting Date",N$8,"58 Gen. Prod. Posting Group",$F$7)</t>
  </si>
  <si>
    <t>=NL("First","27 Item","3 Description","1 No.","@@"&amp;$F118)</t>
  </si>
  <si>
    <t>=NL("First","27 Item","3 Description","1 No.","@@"&amp;$F119)</t>
  </si>
  <si>
    <t>=NL("First","27 Item","22 Unit Cost","1 No.","@@"&amp;$F118)</t>
  </si>
  <si>
    <t>=NL("First","27 Item","22 Unit Cost","1 No.","@@"&amp;$F119)</t>
  </si>
  <si>
    <t>=-NL("Sum","5802 Value Entry","14 Invoiced Quantity","41 Source Type","Customer","4 Item Ledger Entry Type","Sale","2 Item No.","@@"&amp;$F118,"3 Posting Date",I$8,"58 Gen. Prod. Posting Group",$F$7)</t>
  </si>
  <si>
    <t>=-NL("Sum","5802 Value Entry","14 Invoiced Quantity","41 Source Type","Customer","4 Item Ledger Entry Type","Sale","2 Item No.","@@"&amp;$F119,"3 Posting Date",I$8,"58 Gen. Prod. Posting Group",$F$7)</t>
  </si>
  <si>
    <t>=NL("Sum","5802 Value Entry","17 Sales Amount (Actual)","41 Source Type","Customer","4 Item Ledger Entry Type","Sale","2 Item No.","@@"&amp;$F118,"3 Posting Date",I$8,"58 Gen. Prod. Posting Group",$F$7)</t>
  </si>
  <si>
    <t>=NL("Sum","5802 Value Entry","17 Sales Amount (Actual)","41 Source Type","Customer","4 Item Ledger Entry Type","Sale","2 Item No.","@@"&amp;$F119,"3 Posting Date",I$8,"58 Gen. Prod. Posting Group",$F$7)</t>
  </si>
  <si>
    <t>=-NL("Sum","5802 Value Entry","14 Invoiced Quantity","41 Source Type","Customer","4 Item Ledger Entry Type","Sale","2 Item No.","@@"&amp;$F118,"3 Posting Date",N$8,"58 Gen. Prod. Posting Group",$F$7)</t>
  </si>
  <si>
    <t>=-NL("Sum","5802 Value Entry","14 Invoiced Quantity","41 Source Type","Customer","4 Item Ledger Entry Type","Sale","2 Item No.","@@"&amp;$F119,"3 Posting Date",N$8,"58 Gen. Prod. Posting Group",$F$7)</t>
  </si>
  <si>
    <t>=NL("Sum","5802 Value Entry","17 Sales Amount (Actual)","41 Source Type","Customer","4 Item Ledger Entry Type","Sale","2 Item No.","@@"&amp;$F118,"3 Posting Date",N$8,"58 Gen. Prod. Posting Group",$F$7)</t>
  </si>
  <si>
    <t>=NL("Sum","5802 Value Entry","17 Sales Amount (Actual)","41 Source Type","Customer","4 Item Ledger Entry Type","Sale","2 Item No.","@@"&amp;$F119,"3 Posting Date",N$8,"58 Gen. Prod. Posting Group",$F$7)</t>
  </si>
  <si>
    <t>=NL("First","27 Item","3 Description","1 No.","@@"&amp;$F106)</t>
  </si>
  <si>
    <t>=NL("First","27 Item","3 Description","1 No.","@@"&amp;$F107)</t>
  </si>
  <si>
    <t>=NL("First","27 Item","3 Description","1 No.","@@"&amp;$F108)</t>
  </si>
  <si>
    <t>=NL("First","27 Item","22 Unit Cost","1 No.","@@"&amp;$F106)</t>
  </si>
  <si>
    <t>=NL("First","27 Item","22 Unit Cost","1 No.","@@"&amp;$F107)</t>
  </si>
  <si>
    <t>=NL("First","27 Item","22 Unit Cost","1 No.","@@"&amp;$F108)</t>
  </si>
  <si>
    <t>=-NL("Sum","5802 Value Entry","14 Invoiced Quantity","41 Source Type","Customer","4 Item Ledger Entry Type","Sale","2 Item No.","@@"&amp;$F106,"3 Posting Date",I$8,"58 Gen. Prod. Posting Group",$F$7)</t>
  </si>
  <si>
    <t>=-NL("Sum","5802 Value Entry","14 Invoiced Quantity","41 Source Type","Customer","4 Item Ledger Entry Type","Sale","2 Item No.","@@"&amp;$F107,"3 Posting Date",I$8,"58 Gen. Prod. Posting Group",$F$7)</t>
  </si>
  <si>
    <t>=-NL("Sum","5802 Value Entry","14 Invoiced Quantity","41 Source Type","Customer","4 Item Ledger Entry Type","Sale","2 Item No.","@@"&amp;$F108,"3 Posting Date",I$8,"58 Gen. Prod. Posting Group",$F$7)</t>
  </si>
  <si>
    <t>=NL("Sum","5802 Value Entry","17 Sales Amount (Actual)","41 Source Type","Customer","4 Item Ledger Entry Type","Sale","2 Item No.","@@"&amp;$F106,"3 Posting Date",I$8,"58 Gen. Prod. Posting Group",$F$7)</t>
  </si>
  <si>
    <t>=NL("Sum","5802 Value Entry","17 Sales Amount (Actual)","41 Source Type","Customer","4 Item Ledger Entry Type","Sale","2 Item No.","@@"&amp;$F107,"3 Posting Date",I$8,"58 Gen. Prod. Posting Group",$F$7)</t>
  </si>
  <si>
    <t>=NL("Sum","5802 Value Entry","17 Sales Amount (Actual)","41 Source Type","Customer","4 Item Ledger Entry Type","Sale","2 Item No.","@@"&amp;$F108,"3 Posting Date",I$8,"58 Gen. Prod. Posting Group",$F$7)</t>
  </si>
  <si>
    <t>=-NL("Sum","5802 Value Entry","14 Invoiced Quantity","41 Source Type","Customer","4 Item Ledger Entry Type","Sale","2 Item No.","@@"&amp;$F106,"3 Posting Date",N$8,"58 Gen. Prod. Posting Group",$F$7)</t>
  </si>
  <si>
    <t>=-NL("Sum","5802 Value Entry","14 Invoiced Quantity","41 Source Type","Customer","4 Item Ledger Entry Type","Sale","2 Item No.","@@"&amp;$F107,"3 Posting Date",N$8,"58 Gen. Prod. Posting Group",$F$7)</t>
  </si>
  <si>
    <t>=-NL("Sum","5802 Value Entry","14 Invoiced Quantity","41 Source Type","Customer","4 Item Ledger Entry Type","Sale","2 Item No.","@@"&amp;$F108,"3 Posting Date",N$8,"58 Gen. Prod. Posting Group",$F$7)</t>
  </si>
  <si>
    <t>=NL("Sum","5802 Value Entry","17 Sales Amount (Actual)","41 Source Type","Customer","4 Item Ledger Entry Type","Sale","2 Item No.","@@"&amp;$F106,"3 Posting Date",N$8,"58 Gen. Prod. Posting Group",$F$7)</t>
  </si>
  <si>
    <t>=NL("Sum","5802 Value Entry","17 Sales Amount (Actual)","41 Source Type","Customer","4 Item Ledger Entry Type","Sale","2 Item No.","@@"&amp;$F107,"3 Posting Date",N$8,"58 Gen. Prod. Posting Group",$F$7)</t>
  </si>
  <si>
    <t>=NL("Sum","5802 Value Entry","17 Sales Amount (Actual)","41 Source Type","Customer","4 Item Ledger Entry Type","Sale","2 Item No.","@@"&amp;$F108,"3 Posting Date",N$8,"58 Gen. Prod. Posting Group",$F$7)</t>
  </si>
  <si>
    <t>=NL("First","27 Item","3 Description","1 No.","@@"&amp;$F96)</t>
  </si>
  <si>
    <t>=NL("First","27 Item","3 Description","1 No.","@@"&amp;$F97)</t>
  </si>
  <si>
    <t>=NL("First","27 Item","3 Description","1 No.","@@"&amp;$F98)</t>
  </si>
  <si>
    <t>=NL("First","27 Item","3 Description","1 No.","@@"&amp;$F99)</t>
  </si>
  <si>
    <t>=NL("First","27 Item","3 Description","1 No.","@@"&amp;$F100)</t>
  </si>
  <si>
    <t>=NL("First","27 Item","22 Unit Cost","1 No.","@@"&amp;$F96)</t>
  </si>
  <si>
    <t>=NL("First","27 Item","22 Unit Cost","1 No.","@@"&amp;$F97)</t>
  </si>
  <si>
    <t>=NL("First","27 Item","22 Unit Cost","1 No.","@@"&amp;$F98)</t>
  </si>
  <si>
    <t>=NL("First","27 Item","22 Unit Cost","1 No.","@@"&amp;$F99)</t>
  </si>
  <si>
    <t>=NL("First","27 Item","22 Unit Cost","1 No.","@@"&amp;$F100)</t>
  </si>
  <si>
    <t>=-NL("Sum","5802 Value Entry","14 Invoiced Quantity","41 Source Type","Customer","4 Item Ledger Entry Type","Sale","2 Item No.","@@"&amp;$F96,"3 Posting Date",I$8,"58 Gen. Prod. Posting Group",$F$7)</t>
  </si>
  <si>
    <t>=-NL("Sum","5802 Value Entry","14 Invoiced Quantity","41 Source Type","Customer","4 Item Ledger Entry Type","Sale","2 Item No.","@@"&amp;$F97,"3 Posting Date",I$8,"58 Gen. Prod. Posting Group",$F$7)</t>
  </si>
  <si>
    <t>=-NL("Sum","5802 Value Entry","14 Invoiced Quantity","41 Source Type","Customer","4 Item Ledger Entry Type","Sale","2 Item No.","@@"&amp;$F98,"3 Posting Date",I$8,"58 Gen. Prod. Posting Group",$F$7)</t>
  </si>
  <si>
    <t>=-NL("Sum","5802 Value Entry","14 Invoiced Quantity","41 Source Type","Customer","4 Item Ledger Entry Type","Sale","2 Item No.","@@"&amp;$F99,"3 Posting Date",I$8,"58 Gen. Prod. Posting Group",$F$7)</t>
  </si>
  <si>
    <t>=-NL("Sum","5802 Value Entry","14 Invoiced Quantity","41 Source Type","Customer","4 Item Ledger Entry Type","Sale","2 Item No.","@@"&amp;$F100,"3 Posting Date",I$8,"58 Gen. Prod. Posting Group",$F$7)</t>
  </si>
  <si>
    <t>=NL("Sum","5802 Value Entry","17 Sales Amount (Actual)","41 Source Type","Customer","4 Item Ledger Entry Type","Sale","2 Item No.","@@"&amp;$F96,"3 Posting Date",I$8,"58 Gen. Prod. Posting Group",$F$7)</t>
  </si>
  <si>
    <t>=NL("Sum","5802 Value Entry","17 Sales Amount (Actual)","41 Source Type","Customer","4 Item Ledger Entry Type","Sale","2 Item No.","@@"&amp;$F97,"3 Posting Date",I$8,"58 Gen. Prod. Posting Group",$F$7)</t>
  </si>
  <si>
    <t>=NL("Sum","5802 Value Entry","17 Sales Amount (Actual)","41 Source Type","Customer","4 Item Ledger Entry Type","Sale","2 Item No.","@@"&amp;$F98,"3 Posting Date",I$8,"58 Gen. Prod. Posting Group",$F$7)</t>
  </si>
  <si>
    <t>=NL("Sum","5802 Value Entry","17 Sales Amount (Actual)","41 Source Type","Customer","4 Item Ledger Entry Type","Sale","2 Item No.","@@"&amp;$F99,"3 Posting Date",I$8,"58 Gen. Prod. Posting Group",$F$7)</t>
  </si>
  <si>
    <t>=NL("Sum","5802 Value Entry","17 Sales Amount (Actual)","41 Source Type","Customer","4 Item Ledger Entry Type","Sale","2 Item No.","@@"&amp;$F100,"3 Posting Date",I$8,"58 Gen. Prod. Posting Group",$F$7)</t>
  </si>
  <si>
    <t>=-NL("Sum","5802 Value Entry","14 Invoiced Quantity","41 Source Type","Customer","4 Item Ledger Entry Type","Sale","2 Item No.","@@"&amp;$F96,"3 Posting Date",N$8,"58 Gen. Prod. Posting Group",$F$7)</t>
  </si>
  <si>
    <t>=-NL("Sum","5802 Value Entry","14 Invoiced Quantity","41 Source Type","Customer","4 Item Ledger Entry Type","Sale","2 Item No.","@@"&amp;$F97,"3 Posting Date",N$8,"58 Gen. Prod. Posting Group",$F$7)</t>
  </si>
  <si>
    <t>=-NL("Sum","5802 Value Entry","14 Invoiced Quantity","41 Source Type","Customer","4 Item Ledger Entry Type","Sale","2 Item No.","@@"&amp;$F98,"3 Posting Date",N$8,"58 Gen. Prod. Posting Group",$F$7)</t>
  </si>
  <si>
    <t>=-NL("Sum","5802 Value Entry","14 Invoiced Quantity","41 Source Type","Customer","4 Item Ledger Entry Type","Sale","2 Item No.","@@"&amp;$F99,"3 Posting Date",N$8,"58 Gen. Prod. Posting Group",$F$7)</t>
  </si>
  <si>
    <t>=-NL("Sum","5802 Value Entry","14 Invoiced Quantity","41 Source Type","Customer","4 Item Ledger Entry Type","Sale","2 Item No.","@@"&amp;$F100,"3 Posting Date",N$8,"58 Gen. Prod. Posting Group",$F$7)</t>
  </si>
  <si>
    <t>=NL("Sum","5802 Value Entry","17 Sales Amount (Actual)","41 Source Type","Customer","4 Item Ledger Entry Type","Sale","2 Item No.","@@"&amp;$F96,"3 Posting Date",N$8,"58 Gen. Prod. Posting Group",$F$7)</t>
  </si>
  <si>
    <t>=NL("Sum","5802 Value Entry","17 Sales Amount (Actual)","41 Source Type","Customer","4 Item Ledger Entry Type","Sale","2 Item No.","@@"&amp;$F97,"3 Posting Date",N$8,"58 Gen. Prod. Posting Group",$F$7)</t>
  </si>
  <si>
    <t>=NL("Sum","5802 Value Entry","17 Sales Amount (Actual)","41 Source Type","Customer","4 Item Ledger Entry Type","Sale","2 Item No.","@@"&amp;$F98,"3 Posting Date",N$8,"58 Gen. Prod. Posting Group",$F$7)</t>
  </si>
  <si>
    <t>=NL("Sum","5802 Value Entry","17 Sales Amount (Actual)","41 Source Type","Customer","4 Item Ledger Entry Type","Sale","2 Item No.","@@"&amp;$F99,"3 Posting Date",N$8,"58 Gen. Prod. Posting Group",$F$7)</t>
  </si>
  <si>
    <t>=NL("Sum","5802 Value Entry","17 Sales Amount (Actual)","41 Source Type","Customer","4 Item Ledger Entry Type","Sale","2 Item No.","@@"&amp;$F100,"3 Posting Date",N$8,"58 Gen. Prod. Posting Group",$F$7)</t>
  </si>
  <si>
    <t>=NL("First","27 Item","3 Description","1 No.","@@"&amp;$F87)</t>
  </si>
  <si>
    <t>=NL("First","27 Item","3 Description","1 No.","@@"&amp;$F88)</t>
  </si>
  <si>
    <t>=NL("First","27 Item","3 Description","1 No.","@@"&amp;$F89)</t>
  </si>
  <si>
    <t>=NL("First","27 Item","3 Description","1 No.","@@"&amp;$F90)</t>
  </si>
  <si>
    <t>=NL("First","27 Item","3 Description","1 No.","@@"&amp;$F91)</t>
  </si>
  <si>
    <t>=NL("First","27 Item","22 Unit Cost","1 No.","@@"&amp;$F87)</t>
  </si>
  <si>
    <t>=NL("First","27 Item","22 Unit Cost","1 No.","@@"&amp;$F88)</t>
  </si>
  <si>
    <t>=NL("First","27 Item","22 Unit Cost","1 No.","@@"&amp;$F89)</t>
  </si>
  <si>
    <t>=NL("First","27 Item","22 Unit Cost","1 No.","@@"&amp;$F90)</t>
  </si>
  <si>
    <t>=NL("First","27 Item","22 Unit Cost","1 No.","@@"&amp;$F91)</t>
  </si>
  <si>
    <t>=-NL("Sum","5802 Value Entry","14 Invoiced Quantity","41 Source Type","Customer","4 Item Ledger Entry Type","Sale","2 Item No.","@@"&amp;$F87,"3 Posting Date",I$8,"58 Gen. Prod. Posting Group",$F$7)</t>
  </si>
  <si>
    <t>=-NL("Sum","5802 Value Entry","14 Invoiced Quantity","41 Source Type","Customer","4 Item Ledger Entry Type","Sale","2 Item No.","@@"&amp;$F88,"3 Posting Date",I$8,"58 Gen. Prod. Posting Group",$F$7)</t>
  </si>
  <si>
    <t>=-NL("Sum","5802 Value Entry","14 Invoiced Quantity","41 Source Type","Customer","4 Item Ledger Entry Type","Sale","2 Item No.","@@"&amp;$F89,"3 Posting Date",I$8,"58 Gen. Prod. Posting Group",$F$7)</t>
  </si>
  <si>
    <t>=-NL("Sum","5802 Value Entry","14 Invoiced Quantity","41 Source Type","Customer","4 Item Ledger Entry Type","Sale","2 Item No.","@@"&amp;$F90,"3 Posting Date",I$8,"58 Gen. Prod. Posting Group",$F$7)</t>
  </si>
  <si>
    <t>=-NL("Sum","5802 Value Entry","14 Invoiced Quantity","41 Source Type","Customer","4 Item Ledger Entry Type","Sale","2 Item No.","@@"&amp;$F91,"3 Posting Date",I$8,"58 Gen. Prod. Posting Group",$F$7)</t>
  </si>
  <si>
    <t>=NL("Sum","5802 Value Entry","17 Sales Amount (Actual)","41 Source Type","Customer","4 Item Ledger Entry Type","Sale","2 Item No.","@@"&amp;$F87,"3 Posting Date",I$8,"58 Gen. Prod. Posting Group",$F$7)</t>
  </si>
  <si>
    <t>=NL("Sum","5802 Value Entry","17 Sales Amount (Actual)","41 Source Type","Customer","4 Item Ledger Entry Type","Sale","2 Item No.","@@"&amp;$F88,"3 Posting Date",I$8,"58 Gen. Prod. Posting Group",$F$7)</t>
  </si>
  <si>
    <t>=NL("Sum","5802 Value Entry","17 Sales Amount (Actual)","41 Source Type","Customer","4 Item Ledger Entry Type","Sale","2 Item No.","@@"&amp;$F89,"3 Posting Date",I$8,"58 Gen. Prod. Posting Group",$F$7)</t>
  </si>
  <si>
    <t>=NL("Sum","5802 Value Entry","17 Sales Amount (Actual)","41 Source Type","Customer","4 Item Ledger Entry Type","Sale","2 Item No.","@@"&amp;$F90,"3 Posting Date",I$8,"58 Gen. Prod. Posting Group",$F$7)</t>
  </si>
  <si>
    <t>=NL("Sum","5802 Value Entry","17 Sales Amount (Actual)","41 Source Type","Customer","4 Item Ledger Entry Type","Sale","2 Item No.","@@"&amp;$F91,"3 Posting Date",I$8,"58 Gen. Prod. Posting Group",$F$7)</t>
  </si>
  <si>
    <t>=-NL("Sum","5802 Value Entry","14 Invoiced Quantity","41 Source Type","Customer","4 Item Ledger Entry Type","Sale","2 Item No.","@@"&amp;$F87,"3 Posting Date",N$8,"58 Gen. Prod. Posting Group",$F$7)</t>
  </si>
  <si>
    <t>=-NL("Sum","5802 Value Entry","14 Invoiced Quantity","41 Source Type","Customer","4 Item Ledger Entry Type","Sale","2 Item No.","@@"&amp;$F88,"3 Posting Date",N$8,"58 Gen. Prod. Posting Group",$F$7)</t>
  </si>
  <si>
    <t>=-NL("Sum","5802 Value Entry","14 Invoiced Quantity","41 Source Type","Customer","4 Item Ledger Entry Type","Sale","2 Item No.","@@"&amp;$F89,"3 Posting Date",N$8,"58 Gen. Prod. Posting Group",$F$7)</t>
  </si>
  <si>
    <t>=-NL("Sum","5802 Value Entry","14 Invoiced Quantity","41 Source Type","Customer","4 Item Ledger Entry Type","Sale","2 Item No.","@@"&amp;$F90,"3 Posting Date",N$8,"58 Gen. Prod. Posting Group",$F$7)</t>
  </si>
  <si>
    <t>=-NL("Sum","5802 Value Entry","14 Invoiced Quantity","41 Source Type","Customer","4 Item Ledger Entry Type","Sale","2 Item No.","@@"&amp;$F91,"3 Posting Date",N$8,"58 Gen. Prod. Posting Group",$F$7)</t>
  </si>
  <si>
    <t>=NL("Sum","5802 Value Entry","17 Sales Amount (Actual)","41 Source Type","Customer","4 Item Ledger Entry Type","Sale","2 Item No.","@@"&amp;$F87,"3 Posting Date",N$8,"58 Gen. Prod. Posting Group",$F$7)</t>
  </si>
  <si>
    <t>=NL("Sum","5802 Value Entry","17 Sales Amount (Actual)","41 Source Type","Customer","4 Item Ledger Entry Type","Sale","2 Item No.","@@"&amp;$F88,"3 Posting Date",N$8,"58 Gen. Prod. Posting Group",$F$7)</t>
  </si>
  <si>
    <t>=NL("Sum","5802 Value Entry","17 Sales Amount (Actual)","41 Source Type","Customer","4 Item Ledger Entry Type","Sale","2 Item No.","@@"&amp;$F89,"3 Posting Date",N$8,"58 Gen. Prod. Posting Group",$F$7)</t>
  </si>
  <si>
    <t>=NL("Sum","5802 Value Entry","17 Sales Amount (Actual)","41 Source Type","Customer","4 Item Ledger Entry Type","Sale","2 Item No.","@@"&amp;$F90,"3 Posting Date",N$8,"58 Gen. Prod. Posting Group",$F$7)</t>
  </si>
  <si>
    <t>=NL("Sum","5802 Value Entry","17 Sales Amount (Actual)","41 Source Type","Customer","4 Item Ledger Entry Type","Sale","2 Item No.","@@"&amp;$F91,"3 Posting Date",N$8,"58 Gen. Prod. Posting Group",$F$7)</t>
  </si>
  <si>
    <t>=NL("First","27 Item","3 Description","1 No.","@@"&amp;$F78)</t>
  </si>
  <si>
    <t>=NL("First","27 Item","22 Unit Cost","1 No.","@@"&amp;$F78)</t>
  </si>
  <si>
    <t>=-NL("Sum","5802 Value Entry","14 Invoiced Quantity","41 Source Type","Customer","4 Item Ledger Entry Type","Sale","2 Item No.","@@"&amp;$F78,"3 Posting Date",I$8,"58 Gen. Prod. Posting Group",$F$7)</t>
  </si>
  <si>
    <t>=NL("Sum","5802 Value Entry","17 Sales Amount (Actual)","41 Source Type","Customer","4 Item Ledger Entry Type","Sale","2 Item No.","@@"&amp;$F78,"3 Posting Date",I$8,"58 Gen. Prod. Posting Group",$F$7)</t>
  </si>
  <si>
    <t>=-NL("Sum","5802 Value Entry","14 Invoiced Quantity","41 Source Type","Customer","4 Item Ledger Entry Type","Sale","2 Item No.","@@"&amp;$F78,"3 Posting Date",N$8,"58 Gen. Prod. Posting Group",$F$7)</t>
  </si>
  <si>
    <t>=NL("Sum","5802 Value Entry","17 Sales Amount (Actual)","41 Source Type","Customer","4 Item Ledger Entry Type","Sale","2 Item No.","@@"&amp;$F78,"3 Posting Date",N$8,"58 Gen. Prod. Posting Group",$F$7)</t>
  </si>
  <si>
    <t>=NL("First","27 Item","3 Description","1 No.","@@"&amp;$F54)</t>
  </si>
  <si>
    <t>=NL("First","27 Item","3 Description","1 No.","@@"&amp;$F55)</t>
  </si>
  <si>
    <t>=NL("First","27 Item","3 Description","1 No.","@@"&amp;$F60)</t>
  </si>
  <si>
    <t>=NL("First","27 Item","3 Description","1 No.","@@"&amp;$F61)</t>
  </si>
  <si>
    <t>=NL("First","27 Item","3 Description","1 No.","@@"&amp;$F62)</t>
  </si>
  <si>
    <t>=NL("First","27 Item","3 Description","1 No.","@@"&amp;$F63)</t>
  </si>
  <si>
    <t>=NL("First","27 Item","3 Description","1 No.","@@"&amp;$F64)</t>
  </si>
  <si>
    <t>=NL("First","27 Item","3 Description","1 No.","@@"&amp;$F69)</t>
  </si>
  <si>
    <t>=NL("First","27 Item","22 Unit Cost","1 No.","@@"&amp;$F54)</t>
  </si>
  <si>
    <t>=NL("First","27 Item","22 Unit Cost","1 No.","@@"&amp;$F55)</t>
  </si>
  <si>
    <t>=NL("First","27 Item","22 Unit Cost","1 No.","@@"&amp;$F60)</t>
  </si>
  <si>
    <t>=NL("First","27 Item","22 Unit Cost","1 No.","@@"&amp;$F61)</t>
  </si>
  <si>
    <t>=NL("First","27 Item","22 Unit Cost","1 No.","@@"&amp;$F62)</t>
  </si>
  <si>
    <t>=NL("First","27 Item","22 Unit Cost","1 No.","@@"&amp;$F63)</t>
  </si>
  <si>
    <t>=NL("First","27 Item","22 Unit Cost","1 No.","@@"&amp;$F64)</t>
  </si>
  <si>
    <t>=NL("First","27 Item","22 Unit Cost","1 No.","@@"&amp;$F69)</t>
  </si>
  <si>
    <t>=-NL("Sum","5802 Value Entry","14 Invoiced Quantity","41 Source Type","Customer","4 Item Ledger Entry Type","Sale","2 Item No.","@@"&amp;$F54,"3 Posting Date",I$8,"58 Gen. Prod. Posting Group",$F$7)</t>
  </si>
  <si>
    <t>=-NL("Sum","5802 Value Entry","14 Invoiced Quantity","41 Source Type","Customer","4 Item Ledger Entry Type","Sale","2 Item No.","@@"&amp;$F55,"3 Posting Date",I$8,"58 Gen. Prod. Posting Group",$F$7)</t>
  </si>
  <si>
    <t>=-NL("Sum","5802 Value Entry","14 Invoiced Quantity","41 Source Type","Customer","4 Item Ledger Entry Type","Sale","2 Item No.","@@"&amp;$F60,"3 Posting Date",I$8,"58 Gen. Prod. Posting Group",$F$7)</t>
  </si>
  <si>
    <t>=-NL("Sum","5802 Value Entry","14 Invoiced Quantity","41 Source Type","Customer","4 Item Ledger Entry Type","Sale","2 Item No.","@@"&amp;$F61,"3 Posting Date",I$8,"58 Gen. Prod. Posting Group",$F$7)</t>
  </si>
  <si>
    <t>=-NL("Sum","5802 Value Entry","14 Invoiced Quantity","41 Source Type","Customer","4 Item Ledger Entry Type","Sale","2 Item No.","@@"&amp;$F62,"3 Posting Date",I$8,"58 Gen. Prod. Posting Group",$F$7)</t>
  </si>
  <si>
    <t>=-NL("Sum","5802 Value Entry","14 Invoiced Quantity","41 Source Type","Customer","4 Item Ledger Entry Type","Sale","2 Item No.","@@"&amp;$F63,"3 Posting Date",I$8,"58 Gen. Prod. Posting Group",$F$7)</t>
  </si>
  <si>
    <t>=-NL("Sum","5802 Value Entry","14 Invoiced Quantity","41 Source Type","Customer","4 Item Ledger Entry Type","Sale","2 Item No.","@@"&amp;$F64,"3 Posting Date",I$8,"58 Gen. Prod. Posting Group",$F$7)</t>
  </si>
  <si>
    <t>=-NL("Sum","5802 Value Entry","14 Invoiced Quantity","41 Source Type","Customer","4 Item Ledger Entry Type","Sale","2 Item No.","@@"&amp;$F69,"3 Posting Date",I$8,"58 Gen. Prod. Posting Group",$F$7)</t>
  </si>
  <si>
    <t>=NL("Sum","5802 Value Entry","17 Sales Amount (Actual)","41 Source Type","Customer","4 Item Ledger Entry Type","Sale","2 Item No.","@@"&amp;$F54,"3 Posting Date",I$8,"58 Gen. Prod. Posting Group",$F$7)</t>
  </si>
  <si>
    <t>=NL("Sum","5802 Value Entry","17 Sales Amount (Actual)","41 Source Type","Customer","4 Item Ledger Entry Type","Sale","2 Item No.","@@"&amp;$F55,"3 Posting Date",I$8,"58 Gen. Prod. Posting Group",$F$7)</t>
  </si>
  <si>
    <t>=NL("Sum","5802 Value Entry","17 Sales Amount (Actual)","41 Source Type","Customer","4 Item Ledger Entry Type","Sale","2 Item No.","@@"&amp;$F60,"3 Posting Date",I$8,"58 Gen. Prod. Posting Group",$F$7)</t>
  </si>
  <si>
    <t>=NL("Sum","5802 Value Entry","17 Sales Amount (Actual)","41 Source Type","Customer","4 Item Ledger Entry Type","Sale","2 Item No.","@@"&amp;$F61,"3 Posting Date",I$8,"58 Gen. Prod. Posting Group",$F$7)</t>
  </si>
  <si>
    <t>=NL("Sum","5802 Value Entry","17 Sales Amount (Actual)","41 Source Type","Customer","4 Item Ledger Entry Type","Sale","2 Item No.","@@"&amp;$F62,"3 Posting Date",I$8,"58 Gen. Prod. Posting Group",$F$7)</t>
  </si>
  <si>
    <t>=NL("Sum","5802 Value Entry","17 Sales Amount (Actual)","41 Source Type","Customer","4 Item Ledger Entry Type","Sale","2 Item No.","@@"&amp;$F63,"3 Posting Date",I$8,"58 Gen. Prod. Posting Group",$F$7)</t>
  </si>
  <si>
    <t>=NL("Sum","5802 Value Entry","17 Sales Amount (Actual)","41 Source Type","Customer","4 Item Ledger Entry Type","Sale","2 Item No.","@@"&amp;$F64,"3 Posting Date",I$8,"58 Gen. Prod. Posting Group",$F$7)</t>
  </si>
  <si>
    <t>=NL("Sum","5802 Value Entry","17 Sales Amount (Actual)","41 Source Type","Customer","4 Item Ledger Entry Type","Sale","2 Item No.","@@"&amp;$F69,"3 Posting Date",I$8,"58 Gen. Prod. Posting Group",$F$7)</t>
  </si>
  <si>
    <t>=-NL("Sum","5802 Value Entry","14 Invoiced Quantity","41 Source Type","Customer","4 Item Ledger Entry Type","Sale","2 Item No.","@@"&amp;$F54,"3 Posting Date",N$8,"58 Gen. Prod. Posting Group",$F$7)</t>
  </si>
  <si>
    <t>=-NL("Sum","5802 Value Entry","14 Invoiced Quantity","41 Source Type","Customer","4 Item Ledger Entry Type","Sale","2 Item No.","@@"&amp;$F55,"3 Posting Date",N$8,"58 Gen. Prod. Posting Group",$F$7)</t>
  </si>
  <si>
    <t>=-NL("Sum","5802 Value Entry","14 Invoiced Quantity","41 Source Type","Customer","4 Item Ledger Entry Type","Sale","2 Item No.","@@"&amp;$F60,"3 Posting Date",N$8,"58 Gen. Prod. Posting Group",$F$7)</t>
  </si>
  <si>
    <t>=-NL("Sum","5802 Value Entry","14 Invoiced Quantity","41 Source Type","Customer","4 Item Ledger Entry Type","Sale","2 Item No.","@@"&amp;$F61,"3 Posting Date",N$8,"58 Gen. Prod. Posting Group",$F$7)</t>
  </si>
  <si>
    <t>=-NL("Sum","5802 Value Entry","14 Invoiced Quantity","41 Source Type","Customer","4 Item Ledger Entry Type","Sale","2 Item No.","@@"&amp;$F62,"3 Posting Date",N$8,"58 Gen. Prod. Posting Group",$F$7)</t>
  </si>
  <si>
    <t>=-NL("Sum","5802 Value Entry","14 Invoiced Quantity","41 Source Type","Customer","4 Item Ledger Entry Type","Sale","2 Item No.","@@"&amp;$F63,"3 Posting Date",N$8,"58 Gen. Prod. Posting Group",$F$7)</t>
  </si>
  <si>
    <t>=-NL("Sum","5802 Value Entry","14 Invoiced Quantity","41 Source Type","Customer","4 Item Ledger Entry Type","Sale","2 Item No.","@@"&amp;$F64,"3 Posting Date",N$8,"58 Gen. Prod. Posting Group",$F$7)</t>
  </si>
  <si>
    <t>=-NL("Sum","5802 Value Entry","14 Invoiced Quantity","41 Source Type","Customer","4 Item Ledger Entry Type","Sale","2 Item No.","@@"&amp;$F69,"3 Posting Date",N$8,"58 Gen. Prod. Posting Group",$F$7)</t>
  </si>
  <si>
    <t>=NL("Sum","5802 Value Entry","17 Sales Amount (Actual)","41 Source Type","Customer","4 Item Ledger Entry Type","Sale","2 Item No.","@@"&amp;$F54,"3 Posting Date",N$8,"58 Gen. Prod. Posting Group",$F$7)</t>
  </si>
  <si>
    <t>=NL("Sum","5802 Value Entry","17 Sales Amount (Actual)","41 Source Type","Customer","4 Item Ledger Entry Type","Sale","2 Item No.","@@"&amp;$F55,"3 Posting Date",N$8,"58 Gen. Prod. Posting Group",$F$7)</t>
  </si>
  <si>
    <t>=NL("Sum","5802 Value Entry","17 Sales Amount (Actual)","41 Source Type","Customer","4 Item Ledger Entry Type","Sale","2 Item No.","@@"&amp;$F60,"3 Posting Date",N$8,"58 Gen. Prod. Posting Group",$F$7)</t>
  </si>
  <si>
    <t>=NL("Sum","5802 Value Entry","17 Sales Amount (Actual)","41 Source Type","Customer","4 Item Ledger Entry Type","Sale","2 Item No.","@@"&amp;$F61,"3 Posting Date",N$8,"58 Gen. Prod. Posting Group",$F$7)</t>
  </si>
  <si>
    <t>=NL("Sum","5802 Value Entry","17 Sales Amount (Actual)","41 Source Type","Customer","4 Item Ledger Entry Type","Sale","2 Item No.","@@"&amp;$F62,"3 Posting Date",N$8,"58 Gen. Prod. Posting Group",$F$7)</t>
  </si>
  <si>
    <t>=NL("Sum","5802 Value Entry","17 Sales Amount (Actual)","41 Source Type","Customer","4 Item Ledger Entry Type","Sale","2 Item No.","@@"&amp;$F63,"3 Posting Date",N$8,"58 Gen. Prod. Posting Group",$F$7)</t>
  </si>
  <si>
    <t>=NL("Sum","5802 Value Entry","17 Sales Amount (Actual)","41 Source Type","Customer","4 Item Ledger Entry Type","Sale","2 Item No.","@@"&amp;$F64,"3 Posting Date",N$8,"58 Gen. Prod. Posting Group",$F$7)</t>
  </si>
  <si>
    <t>=NL("Sum","5802 Value Entry","17 Sales Amount (Actual)","41 Source Type","Customer","4 Item Ledger Entry Type","Sale","2 Item No.","@@"&amp;$F69,"3 Posting Date",N$8,"58 Gen. Prod. Posting Group",$F$7)</t>
  </si>
  <si>
    <t>=NL("First","27 Item","3 Description","1 No.","@@"&amp;$F46)</t>
  </si>
  <si>
    <t>=NL("First","27 Item","22 Unit Cost","1 No.","@@"&amp;$F46)</t>
  </si>
  <si>
    <t>=-NL("Sum","5802 Value Entry","14 Invoiced Quantity","41 Source Type","Customer","4 Item Ledger Entry Type","Sale","2 Item No.","@@"&amp;$F46,"3 Posting Date",I$8,"58 Gen. Prod. Posting Group",$F$7)</t>
  </si>
  <si>
    <t>=NL("Sum","5802 Value Entry","17 Sales Amount (Actual)","41 Source Type","Customer","4 Item Ledger Entry Type","Sale","2 Item No.","@@"&amp;$F46,"3 Posting Date",I$8,"58 Gen. Prod. Posting Group",$F$7)</t>
  </si>
  <si>
    <t>=-NL("Sum","5802 Value Entry","14 Invoiced Quantity","41 Source Type","Customer","4 Item Ledger Entry Type","Sale","2 Item No.","@@"&amp;$F46,"3 Posting Date",N$8,"58 Gen. Prod. Posting Group",$F$7)</t>
  </si>
  <si>
    <t>=NL("Sum","5802 Value Entry","17 Sales Amount (Actual)","41 Source Type","Customer","4 Item Ledger Entry Type","Sale","2 Item No.","@@"&amp;$F46,"3 Posting Date",N$8,"58 Gen. Prod. Posting Group",$F$7)</t>
  </si>
  <si>
    <t>=NL("First","27 Item","3 Description","1 No.","@@"&amp;$F37)</t>
  </si>
  <si>
    <t>=NL("First","27 Item","3 Description","1 No.","@@"&amp;$F38)</t>
  </si>
  <si>
    <t>=NL("First","27 Item","3 Description","1 No.","@@"&amp;$F39)</t>
  </si>
  <si>
    <t>=NL("First","27 Item","3 Description","1 No.","@@"&amp;$F40)</t>
  </si>
  <si>
    <t>=NL("First","27 Item","22 Unit Cost","1 No.","@@"&amp;$F37)</t>
  </si>
  <si>
    <t>=NL("First","27 Item","22 Unit Cost","1 No.","@@"&amp;$F38)</t>
  </si>
  <si>
    <t>=NL("First","27 Item","22 Unit Cost","1 No.","@@"&amp;$F39)</t>
  </si>
  <si>
    <t>=NL("First","27 Item","22 Unit Cost","1 No.","@@"&amp;$F40)</t>
  </si>
  <si>
    <t>=-NL("Sum","5802 Value Entry","14 Invoiced Quantity","41 Source Type","Customer","4 Item Ledger Entry Type","Sale","2 Item No.","@@"&amp;$F37,"3 Posting Date",I$8,"58 Gen. Prod. Posting Group",$F$7)</t>
  </si>
  <si>
    <t>=-NL("Sum","5802 Value Entry","14 Invoiced Quantity","41 Source Type","Customer","4 Item Ledger Entry Type","Sale","2 Item No.","@@"&amp;$F38,"3 Posting Date",I$8,"58 Gen. Prod. Posting Group",$F$7)</t>
  </si>
  <si>
    <t>=-NL("Sum","5802 Value Entry","14 Invoiced Quantity","41 Source Type","Customer","4 Item Ledger Entry Type","Sale","2 Item No.","@@"&amp;$F39,"3 Posting Date",I$8,"58 Gen. Prod. Posting Group",$F$7)</t>
  </si>
  <si>
    <t>=-NL("Sum","5802 Value Entry","14 Invoiced Quantity","41 Source Type","Customer","4 Item Ledger Entry Type","Sale","2 Item No.","@@"&amp;$F40,"3 Posting Date",I$8,"58 Gen. Prod. Posting Group",$F$7)</t>
  </si>
  <si>
    <t>=NL("Sum","5802 Value Entry","17 Sales Amount (Actual)","41 Source Type","Customer","4 Item Ledger Entry Type","Sale","2 Item No.","@@"&amp;$F37,"3 Posting Date",I$8,"58 Gen. Prod. Posting Group",$F$7)</t>
  </si>
  <si>
    <t>=NL("Sum","5802 Value Entry","17 Sales Amount (Actual)","41 Source Type","Customer","4 Item Ledger Entry Type","Sale","2 Item No.","@@"&amp;$F38,"3 Posting Date",I$8,"58 Gen. Prod. Posting Group",$F$7)</t>
  </si>
  <si>
    <t>=NL("Sum","5802 Value Entry","17 Sales Amount (Actual)","41 Source Type","Customer","4 Item Ledger Entry Type","Sale","2 Item No.","@@"&amp;$F39,"3 Posting Date",I$8,"58 Gen. Prod. Posting Group",$F$7)</t>
  </si>
  <si>
    <t>=NL("Sum","5802 Value Entry","17 Sales Amount (Actual)","41 Source Type","Customer","4 Item Ledger Entry Type","Sale","2 Item No.","@@"&amp;$F40,"3 Posting Date",I$8,"58 Gen. Prod. Posting Group",$F$7)</t>
  </si>
  <si>
    <t>=-NL("Sum","5802 Value Entry","14 Invoiced Quantity","41 Source Type","Customer","4 Item Ledger Entry Type","Sale","2 Item No.","@@"&amp;$F37,"3 Posting Date",N$8,"58 Gen. Prod. Posting Group",$F$7)</t>
  </si>
  <si>
    <t>=-NL("Sum","5802 Value Entry","14 Invoiced Quantity","41 Source Type","Customer","4 Item Ledger Entry Type","Sale","2 Item No.","@@"&amp;$F38,"3 Posting Date",N$8,"58 Gen. Prod. Posting Group",$F$7)</t>
  </si>
  <si>
    <t>=-NL("Sum","5802 Value Entry","14 Invoiced Quantity","41 Source Type","Customer","4 Item Ledger Entry Type","Sale","2 Item No.","@@"&amp;$F39,"3 Posting Date",N$8,"58 Gen. Prod. Posting Group",$F$7)</t>
  </si>
  <si>
    <t>=-NL("Sum","5802 Value Entry","14 Invoiced Quantity","41 Source Type","Customer","4 Item Ledger Entry Type","Sale","2 Item No.","@@"&amp;$F40,"3 Posting Date",N$8,"58 Gen. Prod. Posting Group",$F$7)</t>
  </si>
  <si>
    <t>=NL("Sum","5802 Value Entry","17 Sales Amount (Actual)","41 Source Type","Customer","4 Item Ledger Entry Type","Sale","2 Item No.","@@"&amp;$F37,"3 Posting Date",N$8,"58 Gen. Prod. Posting Group",$F$7)</t>
  </si>
  <si>
    <t>=NL("Sum","5802 Value Entry","17 Sales Amount (Actual)","41 Source Type","Customer","4 Item Ledger Entry Type","Sale","2 Item No.","@@"&amp;$F38,"3 Posting Date",N$8,"58 Gen. Prod. Posting Group",$F$7)</t>
  </si>
  <si>
    <t>=NL("Sum","5802 Value Entry","17 Sales Amount (Actual)","41 Source Type","Customer","4 Item Ledger Entry Type","Sale","2 Item No.","@@"&amp;$F39,"3 Posting Date",N$8,"58 Gen. Prod. Posting Group",$F$7)</t>
  </si>
  <si>
    <t>=NL("Sum","5802 Value Entry","17 Sales Amount (Actual)","41 Source Type","Customer","4 Item Ledger Entry Type","Sale","2 Item No.","@@"&amp;$F40,"3 Posting Date",N$8,"58 Gen. Prod. Posting Group",$F$7)</t>
  </si>
  <si>
    <t>=NL("First","27 Item","3 Description","1 No.","@@"&amp;$F29)</t>
  </si>
  <si>
    <t>=NL("First","27 Item","3 Description","1 No.","@@"&amp;$F30)</t>
  </si>
  <si>
    <t>=NL("First","27 Item","3 Description","1 No.","@@"&amp;$F31)</t>
  </si>
  <si>
    <t>=NL("First","27 Item","22 Unit Cost","1 No.","@@"&amp;$F29)</t>
  </si>
  <si>
    <t>=NL("First","27 Item","22 Unit Cost","1 No.","@@"&amp;$F30)</t>
  </si>
  <si>
    <t>=NL("First","27 Item","22 Unit Cost","1 No.","@@"&amp;$F31)</t>
  </si>
  <si>
    <t>=-NL("Sum","5802 Value Entry","14 Invoiced Quantity","41 Source Type","Customer","4 Item Ledger Entry Type","Sale","2 Item No.","@@"&amp;$F29,"3 Posting Date",I$8,"58 Gen. Prod. Posting Group",$F$7)</t>
  </si>
  <si>
    <t>=-NL("Sum","5802 Value Entry","14 Invoiced Quantity","41 Source Type","Customer","4 Item Ledger Entry Type","Sale","2 Item No.","@@"&amp;$F30,"3 Posting Date",I$8,"58 Gen. Prod. Posting Group",$F$7)</t>
  </si>
  <si>
    <t>=-NL("Sum","5802 Value Entry","14 Invoiced Quantity","41 Source Type","Customer","4 Item Ledger Entry Type","Sale","2 Item No.","@@"&amp;$F31,"3 Posting Date",I$8,"58 Gen. Prod. Posting Group",$F$7)</t>
  </si>
  <si>
    <t>=NL("Sum","5802 Value Entry","17 Sales Amount (Actual)","41 Source Type","Customer","4 Item Ledger Entry Type","Sale","2 Item No.","@@"&amp;$F29,"3 Posting Date",I$8,"58 Gen. Prod. Posting Group",$F$7)</t>
  </si>
  <si>
    <t>=NL("Sum","5802 Value Entry","17 Sales Amount (Actual)","41 Source Type","Customer","4 Item Ledger Entry Type","Sale","2 Item No.","@@"&amp;$F30,"3 Posting Date",I$8,"58 Gen. Prod. Posting Group",$F$7)</t>
  </si>
  <si>
    <t>=NL("Sum","5802 Value Entry","17 Sales Amount (Actual)","41 Source Type","Customer","4 Item Ledger Entry Type","Sale","2 Item No.","@@"&amp;$F31,"3 Posting Date",I$8,"58 Gen. Prod. Posting Group",$F$7)</t>
  </si>
  <si>
    <t>=-NL("Sum","5802 Value Entry","14 Invoiced Quantity","41 Source Type","Customer","4 Item Ledger Entry Type","Sale","2 Item No.","@@"&amp;$F29,"3 Posting Date",N$8,"58 Gen. Prod. Posting Group",$F$7)</t>
  </si>
  <si>
    <t>=-NL("Sum","5802 Value Entry","14 Invoiced Quantity","41 Source Type","Customer","4 Item Ledger Entry Type","Sale","2 Item No.","@@"&amp;$F30,"3 Posting Date",N$8,"58 Gen. Prod. Posting Group",$F$7)</t>
  </si>
  <si>
    <t>=-NL("Sum","5802 Value Entry","14 Invoiced Quantity","41 Source Type","Customer","4 Item Ledger Entry Type","Sale","2 Item No.","@@"&amp;$F31,"3 Posting Date",N$8,"58 Gen. Prod. Posting Group",$F$7)</t>
  </si>
  <si>
    <t>=NL("Sum","5802 Value Entry","17 Sales Amount (Actual)","41 Source Type","Customer","4 Item Ledger Entry Type","Sale","2 Item No.","@@"&amp;$F29,"3 Posting Date",N$8,"58 Gen. Prod. Posting Group",$F$7)</t>
  </si>
  <si>
    <t>=NL("Sum","5802 Value Entry","17 Sales Amount (Actual)","41 Source Type","Customer","4 Item Ledger Entry Type","Sale","2 Item No.","@@"&amp;$F30,"3 Posting Date",N$8,"58 Gen. Prod. Posting Group",$F$7)</t>
  </si>
  <si>
    <t>=NL("Sum","5802 Value Entry","17 Sales Amount (Actual)","41 Source Type","Customer","4 Item Ledger Entry Type","Sale","2 Item No.","@@"&amp;$F31,"3 Posting Date",N$8,"58 Gen. Prod. Posting Group",$F$7)</t>
  </si>
  <si>
    <t>=NL("First","27 Item","3 Description","1 No.","@@"&amp;$F22)</t>
  </si>
  <si>
    <t>=NL("First","27 Item","3 Description","1 No.","@@"&amp;$F23)</t>
  </si>
  <si>
    <t>=NL("First","27 Item","22 Unit Cost","1 No.","@@"&amp;$F22)</t>
  </si>
  <si>
    <t>=NL("First","27 Item","22 Unit Cost","1 No.","@@"&amp;$F23)</t>
  </si>
  <si>
    <t>=-NL("Sum","5802 Value Entry","14 Invoiced Quantity","41 Source Type","Customer","4 Item Ledger Entry Type","Sale","2 Item No.","@@"&amp;$F22,"3 Posting Date",I$8,"58 Gen. Prod. Posting Group",$F$7)</t>
  </si>
  <si>
    <t>=-NL("Sum","5802 Value Entry","14 Invoiced Quantity","41 Source Type","Customer","4 Item Ledger Entry Type","Sale","2 Item No.","@@"&amp;$F23,"3 Posting Date",I$8,"58 Gen. Prod. Posting Group",$F$7)</t>
  </si>
  <si>
    <t>=NL("Sum","5802 Value Entry","17 Sales Amount (Actual)","41 Source Type","Customer","4 Item Ledger Entry Type","Sale","2 Item No.","@@"&amp;$F22,"3 Posting Date",I$8,"58 Gen. Prod. Posting Group",$F$7)</t>
  </si>
  <si>
    <t>=NL("Sum","5802 Value Entry","17 Sales Amount (Actual)","41 Source Type","Customer","4 Item Ledger Entry Type","Sale","2 Item No.","@@"&amp;$F23,"3 Posting Date",I$8,"58 Gen. Prod. Posting Group",$F$7)</t>
  </si>
  <si>
    <t>=-NL("Sum","5802 Value Entry","14 Invoiced Quantity","41 Source Type","Customer","4 Item Ledger Entry Type","Sale","2 Item No.","@@"&amp;$F22,"3 Posting Date",N$8,"58 Gen. Prod. Posting Group",$F$7)</t>
  </si>
  <si>
    <t>=-NL("Sum","5802 Value Entry","14 Invoiced Quantity","41 Source Type","Customer","4 Item Ledger Entry Type","Sale","2 Item No.","@@"&amp;$F23,"3 Posting Date",N$8,"58 Gen. Prod. Posting Group",$F$7)</t>
  </si>
  <si>
    <t>=NL("Sum","5802 Value Entry","17 Sales Amount (Actual)","41 Source Type","Customer","4 Item Ledger Entry Type","Sale","2 Item No.","@@"&amp;$F22,"3 Posting Date",N$8,"58 Gen. Prod. Posting Group",$F$7)</t>
  </si>
  <si>
    <t>=NL("Sum","5802 Value Entry","17 Sales Amount (Actual)","41 Source Type","Customer","4 Item Ledger Entry Type","Sale","2 Item No.","@@"&amp;$F23,"3 Posting Date",N$8,"58 Gen. Prod. Posting Group",$F$7)</t>
  </si>
  <si>
    <t>=SUBTOTAL(9,N13:N14)</t>
  </si>
  <si>
    <t>=SUBTOTAL(9,O13:O14)</t>
  </si>
  <si>
    <t>=C17</t>
  </si>
  <si>
    <t>=SUBTOTAL(9,I13:I17)</t>
  </si>
  <si>
    <t>=SUBTOTAL(9,J13:J17)</t>
  </si>
  <si>
    <t>=SUBTOTAL(9,K13:K17)</t>
  </si>
  <si>
    <t>=IF(J18=0,0,K18/J18)</t>
  </si>
  <si>
    <t>=SUBTOTAL(9,N13:N17)</t>
  </si>
  <si>
    <t>=SUBTOTAL(9,O13:O17)</t>
  </si>
  <si>
    <t>=SUM(P13:P17)/2</t>
  </si>
  <si>
    <t>=IF(O18=0,0,P18/O18)</t>
  </si>
  <si>
    <t>=SUBTOTAL(9,S13:S17)</t>
  </si>
  <si>
    <t>=SUBTOTAL(9,T13:T17)</t>
  </si>
  <si>
    <t>=SUBTOTAL(9,U13:U17)</t>
  </si>
  <si>
    <t>=L18-Q18</t>
  </si>
  <si>
    <t>=SUBTOTAL(9,N237:N242)</t>
  </si>
  <si>
    <t>=SUBTOTAL(9,O237:O242)</t>
  </si>
  <si>
    <t>=SUBTOTAL(9,N246:N251)</t>
  </si>
  <si>
    <t>=SUBTOTAL(9,O246:O251)</t>
  </si>
  <si>
    <t>=SUBTOTAL(9,N269:N274)</t>
  </si>
  <si>
    <t>=SUBTOTAL(9,O269:O274)</t>
  </si>
  <si>
    <t>=J18-(I18*H18)</t>
  </si>
  <si>
    <t>=O18-(N18*$H18)</t>
  </si>
  <si>
    <t>=I18-N18</t>
  </si>
  <si>
    <t>=J18-O18</t>
  </si>
  <si>
    <t>=K18-P18</t>
  </si>
  <si>
    <t>=J19-(I19*H19)</t>
  </si>
  <si>
    <t>=O19-(N19*$H19)</t>
  </si>
  <si>
    <t>=I19-N19</t>
  </si>
  <si>
    <t>=J19-O19</t>
  </si>
  <si>
    <t>=K19-P19</t>
  </si>
  <si>
    <t>=J20-(I20*H20)</t>
  </si>
  <si>
    <t>=IF(J20=0,0,K20/J20)</t>
  </si>
  <si>
    <t>=O20-(N20*$H20)</t>
  </si>
  <si>
    <t>=IF(O20=0,0,P20/O20)</t>
  </si>
  <si>
    <t>=I20-N20</t>
  </si>
  <si>
    <t>=J20-O20</t>
  </si>
  <si>
    <t>=K20-P20</t>
  </si>
  <si>
    <t>=L20-Q20</t>
  </si>
  <si>
    <t>=J21-(I21*H21)</t>
  </si>
  <si>
    <t>=IF(J21=0,0,K21/J21)</t>
  </si>
  <si>
    <t>=O21-(N21*$H21)</t>
  </si>
  <si>
    <t>=IF(O21=0,0,P21/O21)</t>
  </si>
  <si>
    <t>=I21-N21</t>
  </si>
  <si>
    <t>=J21-O21</t>
  </si>
  <si>
    <t>=K21-P21</t>
  </si>
  <si>
    <t>=L21-Q21</t>
  </si>
  <si>
    <t>=W21</t>
  </si>
  <si>
    <t>=C24</t>
  </si>
  <si>
    <t>=IF(J25=0,0,K25/J25)</t>
  </si>
  <si>
    <t>=IF(O25=0,0,P25/O25)</t>
  </si>
  <si>
    <t>=L25-Q25</t>
  </si>
  <si>
    <t>=C27</t>
  </si>
  <si>
    <t>=J28-(I28*H28)</t>
  </si>
  <si>
    <t>=IF(J28=0,0,K28/J28)</t>
  </si>
  <si>
    <t>=O28-(N28*$H28)</t>
  </si>
  <si>
    <t>=IF(O28=0,0,P28/O28)</t>
  </si>
  <si>
    <t>=I28-N28</t>
  </si>
  <si>
    <t>=J28-O28</t>
  </si>
  <si>
    <t>=K28-P28</t>
  </si>
  <si>
    <t>=L28-Q28</t>
  </si>
  <si>
    <t>=W28</t>
  </si>
  <si>
    <t>=C31</t>
  </si>
  <si>
    <t>=J32-(I32*H32)</t>
  </si>
  <si>
    <t>=IF(J32=0,0,K32/J32)</t>
  </si>
  <si>
    <t>=O32-(N32*$H32)</t>
  </si>
  <si>
    <t>=IF(O32=0,0,P32/O32)</t>
  </si>
  <si>
    <t>=I32-N32</t>
  </si>
  <si>
    <t>=J32-O32</t>
  </si>
  <si>
    <t>=K32-P32</t>
  </si>
  <si>
    <t>=L32-Q32</t>
  </si>
  <si>
    <t>=IF(J34=0,0,K34/J34)</t>
  </si>
  <si>
    <t>=IF(O34=0,0,P34/O34)</t>
  </si>
  <si>
    <t>=L34-Q34</t>
  </si>
  <si>
    <t>=C34</t>
  </si>
  <si>
    <t>=C40</t>
  </si>
  <si>
    <t>=J41-(I41*H41)</t>
  </si>
  <si>
    <t>=IF(J41=0,0,K41/J41)</t>
  </si>
  <si>
    <t>=O41-(N41*$H41)</t>
  </si>
  <si>
    <t>=IF(O41=0,0,P41/O41)</t>
  </si>
  <si>
    <t>=I41-N41</t>
  </si>
  <si>
    <t>=J41-O41</t>
  </si>
  <si>
    <t>=K41-P41</t>
  </si>
  <si>
    <t>=L41-Q41</t>
  </si>
  <si>
    <t>=IF(J43=0,0,K43/J43)</t>
  </si>
  <si>
    <t>=IF(O43=0,0,P43/O43)</t>
  </si>
  <si>
    <t>=L43-Q43</t>
  </si>
  <si>
    <t>=NL("First","27 Item","3 Description","1 No.","@@"&amp;$F18)</t>
  </si>
  <si>
    <t>=NL("First","27 Item","3 Description","1 No.","@@"&amp;$F19)</t>
  </si>
  <si>
    <t>=NL("First","27 Item","3 Description","1 No.","@@"&amp;$F20)</t>
  </si>
  <si>
    <t>=NL("First","27 Item","3 Description","1 No.","@@"&amp;$F21)</t>
  </si>
  <si>
    <t>=NL("First","27 Item","3 Description","1 No.","@@"&amp;$F28)</t>
  </si>
  <si>
    <t>=NL("First","27 Item","3 Description","1 No.","@@"&amp;$F32)</t>
  </si>
  <si>
    <t>=NL("First","27 Item","3 Description","1 No.","@@"&amp;$F41)</t>
  </si>
  <si>
    <t>=NL("First","27 Item","22 Unit Cost","1 No.","@@"&amp;$F18)</t>
  </si>
  <si>
    <t>=NL("First","27 Item","22 Unit Cost","1 No.","@@"&amp;$F19)</t>
  </si>
  <si>
    <t>=NL("First","27 Item","22 Unit Cost","1 No.","@@"&amp;$F20)</t>
  </si>
  <si>
    <t>=NL("First","27 Item","22 Unit Cost","1 No.","@@"&amp;$F21)</t>
  </si>
  <si>
    <t>=NL("First","27 Item","22 Unit Cost","1 No.","@@"&amp;$F28)</t>
  </si>
  <si>
    <t>=NL("First","27 Item","22 Unit Cost","1 No.","@@"&amp;$F32)</t>
  </si>
  <si>
    <t>=NL("First","27 Item","22 Unit Cost","1 No.","@@"&amp;$F41)</t>
  </si>
  <si>
    <t>=-NL("Sum","5802 Value Entry","14 Invoiced Quantity","41 Source Type","Customer","4 Item Ledger Entry Type","Sale","2 Item No.","@@"&amp;$F18,"3 Posting Date",I$8,"58 Gen. Prod. Posting Group",$F$7)</t>
  </si>
  <si>
    <t>=-NL("Sum","5802 Value Entry","14 Invoiced Quantity","41 Source Type","Customer","4 Item Ledger Entry Type","Sale","2 Item No.","@@"&amp;$F19,"3 Posting Date",I$8,"58 Gen. Prod. Posting Group",$F$7)</t>
  </si>
  <si>
    <t>=-NL("Sum","5802 Value Entry","14 Invoiced Quantity","41 Source Type","Customer","4 Item Ledger Entry Type","Sale","2 Item No.","@@"&amp;$F20,"3 Posting Date",I$8,"58 Gen. Prod. Posting Group",$F$7)</t>
  </si>
  <si>
    <t>=-NL("Sum","5802 Value Entry","14 Invoiced Quantity","41 Source Type","Customer","4 Item Ledger Entry Type","Sale","2 Item No.","@@"&amp;$F21,"3 Posting Date",I$8,"58 Gen. Prod. Posting Group",$F$7)</t>
  </si>
  <si>
    <t>=-NL("Sum","5802 Value Entry","14 Invoiced Quantity","41 Source Type","Customer","4 Item Ledger Entry Type","Sale","2 Item No.","@@"&amp;$F28,"3 Posting Date",I$8,"58 Gen. Prod. Posting Group",$F$7)</t>
  </si>
  <si>
    <t>=-NL("Sum","5802 Value Entry","14 Invoiced Quantity","41 Source Type","Customer","4 Item Ledger Entry Type","Sale","2 Item No.","@@"&amp;$F32,"3 Posting Date",I$8,"58 Gen. Prod. Posting Group",$F$7)</t>
  </si>
  <si>
    <t>=-NL("Sum","5802 Value Entry","14 Invoiced Quantity","41 Source Type","Customer","4 Item Ledger Entry Type","Sale","2 Item No.","@@"&amp;$F41,"3 Posting Date",I$8,"58 Gen. Prod. Posting Group",$F$7)</t>
  </si>
  <si>
    <t>=NL("Sum","5802 Value Entry","17 Sales Amount (Actual)","41 Source Type","Customer","4 Item Ledger Entry Type","Sale","2 Item No.","@@"&amp;$F18,"3 Posting Date",I$8,"58 Gen. Prod. Posting Group",$F$7)</t>
  </si>
  <si>
    <t>=NL("Sum","5802 Value Entry","17 Sales Amount (Actual)","41 Source Type","Customer","4 Item Ledger Entry Type","Sale","2 Item No.","@@"&amp;$F19,"3 Posting Date",I$8,"58 Gen. Prod. Posting Group",$F$7)</t>
  </si>
  <si>
    <t>=NL("Sum","5802 Value Entry","17 Sales Amount (Actual)","41 Source Type","Customer","4 Item Ledger Entry Type","Sale","2 Item No.","@@"&amp;$F20,"3 Posting Date",I$8,"58 Gen. Prod. Posting Group",$F$7)</t>
  </si>
  <si>
    <t>=NL("Sum","5802 Value Entry","17 Sales Amount (Actual)","41 Source Type","Customer","4 Item Ledger Entry Type","Sale","2 Item No.","@@"&amp;$F21,"3 Posting Date",I$8,"58 Gen. Prod. Posting Group",$F$7)</t>
  </si>
  <si>
    <t>=NL("Sum","5802 Value Entry","17 Sales Amount (Actual)","41 Source Type","Customer","4 Item Ledger Entry Type","Sale","2 Item No.","@@"&amp;$F28,"3 Posting Date",I$8,"58 Gen. Prod. Posting Group",$F$7)</t>
  </si>
  <si>
    <t>=NL("Sum","5802 Value Entry","17 Sales Amount (Actual)","41 Source Type","Customer","4 Item Ledger Entry Type","Sale","2 Item No.","@@"&amp;$F32,"3 Posting Date",I$8,"58 Gen. Prod. Posting Group",$F$7)</t>
  </si>
  <si>
    <t>=NL("Sum","5802 Value Entry","17 Sales Amount (Actual)","41 Source Type","Customer","4 Item Ledger Entry Type","Sale","2 Item No.","@@"&amp;$F41,"3 Posting Date",I$8,"58 Gen. Prod. Posting Group",$F$7)</t>
  </si>
  <si>
    <t>=-NL("Sum","5802 Value Entry","14 Invoiced Quantity","41 Source Type","Customer","4 Item Ledger Entry Type","Sale","2 Item No.","@@"&amp;$F18,"3 Posting Date",N$8,"58 Gen. Prod. Posting Group",$F$7)</t>
  </si>
  <si>
    <t>=-NL("Sum","5802 Value Entry","14 Invoiced Quantity","41 Source Type","Customer","4 Item Ledger Entry Type","Sale","2 Item No.","@@"&amp;$F19,"3 Posting Date",N$8,"58 Gen. Prod. Posting Group",$F$7)</t>
  </si>
  <si>
    <t>=-NL("Sum","5802 Value Entry","14 Invoiced Quantity","41 Source Type","Customer","4 Item Ledger Entry Type","Sale","2 Item No.","@@"&amp;$F20,"3 Posting Date",N$8,"58 Gen. Prod. Posting Group",$F$7)</t>
  </si>
  <si>
    <t>=-NL("Sum","5802 Value Entry","14 Invoiced Quantity","41 Source Type","Customer","4 Item Ledger Entry Type","Sale","2 Item No.","@@"&amp;$F21,"3 Posting Date",N$8,"58 Gen. Prod. Posting Group",$F$7)</t>
  </si>
  <si>
    <t>=-NL("Sum","5802 Value Entry","14 Invoiced Quantity","41 Source Type","Customer","4 Item Ledger Entry Type","Sale","2 Item No.","@@"&amp;$F28,"3 Posting Date",N$8,"58 Gen. Prod. Posting Group",$F$7)</t>
  </si>
  <si>
    <t>=-NL("Sum","5802 Value Entry","14 Invoiced Quantity","41 Source Type","Customer","4 Item Ledger Entry Type","Sale","2 Item No.","@@"&amp;$F32,"3 Posting Date",N$8,"58 Gen. Prod. Posting Group",$F$7)</t>
  </si>
  <si>
    <t>=-NL("Sum","5802 Value Entry","14 Invoiced Quantity","41 Source Type","Customer","4 Item Ledger Entry Type","Sale","2 Item No.","@@"&amp;$F41,"3 Posting Date",N$8,"58 Gen. Prod. Posting Group",$F$7)</t>
  </si>
  <si>
    <t>=NL("Sum","5802 Value Entry","17 Sales Amount (Actual)","41 Source Type","Customer","4 Item Ledger Entry Type","Sale","2 Item No.","@@"&amp;$F18,"3 Posting Date",N$8,"58 Gen. Prod. Posting Group",$F$7)</t>
  </si>
  <si>
    <t>=NL("Sum","5802 Value Entry","17 Sales Amount (Actual)","41 Source Type","Customer","4 Item Ledger Entry Type","Sale","2 Item No.","@@"&amp;$F19,"3 Posting Date",N$8,"58 Gen. Prod. Posting Group",$F$7)</t>
  </si>
  <si>
    <t>=NL("Sum","5802 Value Entry","17 Sales Amount (Actual)","41 Source Type","Customer","4 Item Ledger Entry Type","Sale","2 Item No.","@@"&amp;$F20,"3 Posting Date",N$8,"58 Gen. Prod. Posting Group",$F$7)</t>
  </si>
  <si>
    <t>=NL("Sum","5802 Value Entry","17 Sales Amount (Actual)","41 Source Type","Customer","4 Item Ledger Entry Type","Sale","2 Item No.","@@"&amp;$F21,"3 Posting Date",N$8,"58 Gen. Prod. Posting Group",$F$7)</t>
  </si>
  <si>
    <t>=NL("Sum","5802 Value Entry","17 Sales Amount (Actual)","41 Source Type","Customer","4 Item Ledger Entry Type","Sale","2 Item No.","@@"&amp;$F28,"3 Posting Date",N$8,"58 Gen. Prod. Posting Group",$F$7)</t>
  </si>
  <si>
    <t>=NL("Sum","5802 Value Entry","17 Sales Amount (Actual)","41 Source Type","Customer","4 Item Ledger Entry Type","Sale","2 Item No.","@@"&amp;$F32,"3 Posting Date",N$8,"58 Gen. Prod. Posting Group",$F$7)</t>
  </si>
  <si>
    <t>=NL("Sum","5802 Value Entry","17 Sales Amount (Actual)","41 Source Type","Customer","4 Item Ledger Entry Type","Sale","2 Item No.","@@"&amp;$F41,"3 Posting Date",N$8,"58 Gen. Prod. Posting Group",$F$7)</t>
  </si>
  <si>
    <t>="*"</t>
  </si>
  <si>
    <t>=C73</t>
  </si>
  <si>
    <t>=J74-(I74*H74)</t>
  </si>
  <si>
    <t>=IF(J74=0,0,K74/J74)</t>
  </si>
  <si>
    <t>=O74-(N74*$H74)</t>
  </si>
  <si>
    <t>=IF(O74=0,0,P74/O74)</t>
  </si>
  <si>
    <t>=I74-N74</t>
  </si>
  <si>
    <t>=J74-O74</t>
  </si>
  <si>
    <t>=K74-P74</t>
  </si>
  <si>
    <t>=L74-Q74</t>
  </si>
  <si>
    <t>=J75-(I75*H75)</t>
  </si>
  <si>
    <t>=O75-(N75*$H75)</t>
  </si>
  <si>
    <t>=I75-N75</t>
  </si>
  <si>
    <t>=J75-O75</t>
  </si>
  <si>
    <t>=K75-P75</t>
  </si>
  <si>
    <t>=J76-(I76*H76)</t>
  </si>
  <si>
    <t>=IF(J76=0,0,K76/J76)</t>
  </si>
  <si>
    <t>=O76-(N76*$H76)</t>
  </si>
  <si>
    <t>=IF(O76=0,0,P76/O76)</t>
  </si>
  <si>
    <t>=I76-N76</t>
  </si>
  <si>
    <t>=J76-O76</t>
  </si>
  <si>
    <t>=K76-P76</t>
  </si>
  <si>
    <t>=L76-Q76</t>
  </si>
  <si>
    <t>=W77</t>
  </si>
  <si>
    <t>=C82</t>
  </si>
  <si>
    <t>=J83-(I83*H83)</t>
  </si>
  <si>
    <t>=IF(J83=0,0,K83/J83)</t>
  </si>
  <si>
    <t>=O83-(N83*$H83)</t>
  </si>
  <si>
    <t>=IF(O83=0,0,P83/O83)</t>
  </si>
  <si>
    <t>=I83-N83</t>
  </si>
  <si>
    <t>=J83-O83</t>
  </si>
  <si>
    <t>=K83-P83</t>
  </si>
  <si>
    <t>=L83-Q83</t>
  </si>
  <si>
    <t>=J84-(I84*H84)</t>
  </si>
  <si>
    <t>=O84-(N84*$H84)</t>
  </si>
  <si>
    <t>=I84-N84</t>
  </si>
  <si>
    <t>=J84-O84</t>
  </si>
  <si>
    <t>=K84-P84</t>
  </si>
  <si>
    <t>=C85</t>
  </si>
  <si>
    <t>=IF(J86=0,0,K86/J86)</t>
  </si>
  <si>
    <t>=IF(O86=0,0,P86/O86)</t>
  </si>
  <si>
    <t>=L86-Q86</t>
  </si>
  <si>
    <t>=W86</t>
  </si>
  <si>
    <t>=C91</t>
  </si>
  <si>
    <t>=J92-(I92*H92)</t>
  </si>
  <si>
    <t>=IF(J92=0,0,K92/J92)</t>
  </si>
  <si>
    <t>=O92-(N92*$H92)</t>
  </si>
  <si>
    <t>=IF(O92=0,0,P92/O92)</t>
  </si>
  <si>
    <t>=I92-N92</t>
  </si>
  <si>
    <t>=J92-O92</t>
  </si>
  <si>
    <t>=K92-P92</t>
  </si>
  <si>
    <t>=L92-Q92</t>
  </si>
  <si>
    <t>=J93-(I93*H93)</t>
  </si>
  <si>
    <t>=O93-(N93*$H93)</t>
  </si>
  <si>
    <t>=I93-N93</t>
  </si>
  <si>
    <t>=J93-O93</t>
  </si>
  <si>
    <t>=K93-P93</t>
  </si>
  <si>
    <t>=C94</t>
  </si>
  <si>
    <t>=IF(J95=0,0,K95/J95)</t>
  </si>
  <si>
    <t>=IF(O95=0,0,P95/O95)</t>
  </si>
  <si>
    <t>=L95-Q95</t>
  </si>
  <si>
    <t>=W95</t>
  </si>
  <si>
    <t>=C100</t>
  </si>
  <si>
    <t>=IF(J103=0,0,K103/J103)</t>
  </si>
  <si>
    <t>=IF(O103=0,0,P103/O103)</t>
  </si>
  <si>
    <t>=L103-Q103</t>
  </si>
  <si>
    <t>=C103</t>
  </si>
  <si>
    <t>=C108</t>
  </si>
  <si>
    <t>=IF(J109=0,0,K109/J109)</t>
  </si>
  <si>
    <t>=IF(O109=0,0,P109/O109)</t>
  </si>
  <si>
    <t>=L109-Q109</t>
  </si>
  <si>
    <t>=C111</t>
  </si>
  <si>
    <t>=IF(J112=0,0,K112/J112)</t>
  </si>
  <si>
    <t>=IF(O112=0,0,P112/O112)</t>
  </si>
  <si>
    <t>=L112-Q112</t>
  </si>
  <si>
    <t>=W112</t>
  </si>
  <si>
    <t>=J115-(I115*H115)</t>
  </si>
  <si>
    <t>=O115-(N115*$H115)</t>
  </si>
  <si>
    <t>=I115-N115</t>
  </si>
  <si>
    <t>=J115-O115</t>
  </si>
  <si>
    <t>=K115-P115</t>
  </si>
  <si>
    <t>=J116-(I116*H116)</t>
  </si>
  <si>
    <t>=IF(J116=0,0,K116/J116)</t>
  </si>
  <si>
    <t>=O116-(N116*$H116)</t>
  </si>
  <si>
    <t>=IF(O116=0,0,P116/O116)</t>
  </si>
  <si>
    <t>=I116-N116</t>
  </si>
  <si>
    <t>=J116-O116</t>
  </si>
  <si>
    <t>=K116-P116</t>
  </si>
  <si>
    <t>=L116-Q116</t>
  </si>
  <si>
    <t>=W117</t>
  </si>
  <si>
    <t>=J124-(I124*H124)</t>
  </si>
  <si>
    <t>=O124-(N124*$H124)</t>
  </si>
  <si>
    <t>=I124-N124</t>
  </si>
  <si>
    <t>=J124-O124</t>
  </si>
  <si>
    <t>=K124-P124</t>
  </si>
  <si>
    <t>=J125-(I125*H125)</t>
  </si>
  <si>
    <t>=IF(J125=0,0,K125/J125)</t>
  </si>
  <si>
    <t>=O125-(N125*$H125)</t>
  </si>
  <si>
    <t>=IF(O125=0,0,P125/O125)</t>
  </si>
  <si>
    <t>=I125-N125</t>
  </si>
  <si>
    <t>=J125-O125</t>
  </si>
  <si>
    <t>=K125-P125</t>
  </si>
  <si>
    <t>=L125-Q125</t>
  </si>
  <si>
    <t>=W126</t>
  </si>
  <si>
    <t>=IF(J130=0,0,K130/J130)</t>
  </si>
  <si>
    <t>=IF(O130=0,0,P130/O130)</t>
  </si>
  <si>
    <t>=L130-Q130</t>
  </si>
  <si>
    <t>=C130</t>
  </si>
  <si>
    <t>=C136</t>
  </si>
  <si>
    <t>=IF(J139=0,0,K139/J139)</t>
  </si>
  <si>
    <t>=IF(O139=0,0,P139/O139)</t>
  </si>
  <si>
    <t>=L139-Q139</t>
  </si>
  <si>
    <t>=C139</t>
  </si>
  <si>
    <t>=C145</t>
  </si>
  <si>
    <t>=IF(J148=0,0,K148/J148)</t>
  </si>
  <si>
    <t>=IF(O148=0,0,P148/O148)</t>
  </si>
  <si>
    <t>=L148-Q148</t>
  </si>
  <si>
    <t>=C148</t>
  </si>
  <si>
    <t>=C154</t>
  </si>
  <si>
    <t>=IF(J157=0,0,K157/J157)</t>
  </si>
  <si>
    <t>=IF(O157=0,0,P157/O157)</t>
  </si>
  <si>
    <t>=L157-Q157</t>
  </si>
  <si>
    <t>=C157</t>
  </si>
  <si>
    <t>=J160-(I160*H160)</t>
  </si>
  <si>
    <t>=IF(J160=0,0,K160/J160)</t>
  </si>
  <si>
    <t>=O160-(N160*$H160)</t>
  </si>
  <si>
    <t>=IF(O160=0,0,P160/O160)</t>
  </si>
  <si>
    <t>=I160-N160</t>
  </si>
  <si>
    <t>=J160-O160</t>
  </si>
  <si>
    <t>=K160-P160</t>
  </si>
  <si>
    <t>=L160-Q160</t>
  </si>
  <si>
    <t>=J161-(I161*H161)</t>
  </si>
  <si>
    <t>=O161-(N161*$H161)</t>
  </si>
  <si>
    <t>=I161-N161</t>
  </si>
  <si>
    <t>=J161-O161</t>
  </si>
  <si>
    <t>=K161-P161</t>
  </si>
  <si>
    <t>=C162</t>
  </si>
  <si>
    <t>=IF(J163=0,0,K163/J163)</t>
  </si>
  <si>
    <t>=IF(O163=0,0,P163/O163)</t>
  </si>
  <si>
    <t>=L163-Q163</t>
  </si>
  <si>
    <t>=W163</t>
  </si>
  <si>
    <t>=C168</t>
  </si>
  <si>
    <t>=J169-(I169*H169)</t>
  </si>
  <si>
    <t>=IF(J169=0,0,K169/J169)</t>
  </si>
  <si>
    <t>=O169-(N169*$H169)</t>
  </si>
  <si>
    <t>=IF(O169=0,0,P169/O169)</t>
  </si>
  <si>
    <t>=I169-N169</t>
  </si>
  <si>
    <t>=J169-O169</t>
  </si>
  <si>
    <t>=K169-P169</t>
  </si>
  <si>
    <t>=L169-Q169</t>
  </si>
  <si>
    <t>=J170-(I170*H170)</t>
  </si>
  <si>
    <t>=O170-(N170*$H170)</t>
  </si>
  <si>
    <t>=I170-N170</t>
  </si>
  <si>
    <t>=J170-O170</t>
  </si>
  <si>
    <t>=K170-P170</t>
  </si>
  <si>
    <t>=J171-(I171*H171)</t>
  </si>
  <si>
    <t>=IF(J171=0,0,K171/J171)</t>
  </si>
  <si>
    <t>=O171-(N171*$H171)</t>
  </si>
  <si>
    <t>=IF(O171=0,0,P171/O171)</t>
  </si>
  <si>
    <t>=I171-N171</t>
  </si>
  <si>
    <t>=J171-O171</t>
  </si>
  <si>
    <t>=K171-P171</t>
  </si>
  <si>
    <t>=L171-Q171</t>
  </si>
  <si>
    <t>=C171</t>
  </si>
  <si>
    <t>=J172-(I172*H172)</t>
  </si>
  <si>
    <t>=IF(J172=0,0,K172/J172)</t>
  </si>
  <si>
    <t>=O172-(N172*$H172)</t>
  </si>
  <si>
    <t>=IF(O172=0,0,P172/O172)</t>
  </si>
  <si>
    <t>=I172-N172</t>
  </si>
  <si>
    <t>=J172-O172</t>
  </si>
  <si>
    <t>=K172-P172</t>
  </si>
  <si>
    <t>=L172-Q172</t>
  </si>
  <si>
    <t>=W172</t>
  </si>
  <si>
    <t>=C177</t>
  </si>
  <si>
    <t>=J178-(I178*H178)</t>
  </si>
  <si>
    <t>=IF(J178=0,0,K178/J178)</t>
  </si>
  <si>
    <t>=O178-(N178*$H178)</t>
  </si>
  <si>
    <t>=IF(O178=0,0,P178/O178)</t>
  </si>
  <si>
    <t>=I178-N178</t>
  </si>
  <si>
    <t>=J178-O178</t>
  </si>
  <si>
    <t>=K178-P178</t>
  </si>
  <si>
    <t>=L178-Q178</t>
  </si>
  <si>
    <t>=J179-(I179*H179)</t>
  </si>
  <si>
    <t>=O179-(N179*$H179)</t>
  </si>
  <si>
    <t>=I179-N179</t>
  </si>
  <si>
    <t>=J179-O179</t>
  </si>
  <si>
    <t>=K179-P179</t>
  </si>
  <si>
    <t>=J180-(I180*H180)</t>
  </si>
  <si>
    <t>=IF(J180=0,0,K180/J180)</t>
  </si>
  <si>
    <t>=O180-(N180*$H180)</t>
  </si>
  <si>
    <t>=IF(O180=0,0,P180/O180)</t>
  </si>
  <si>
    <t>=I180-N180</t>
  </si>
  <si>
    <t>=J180-O180</t>
  </si>
  <si>
    <t>=K180-P180</t>
  </si>
  <si>
    <t>=L180-Q180</t>
  </si>
  <si>
    <t>=C180</t>
  </si>
  <si>
    <t>=J181-(I181*H181)</t>
  </si>
  <si>
    <t>=IF(J181=0,0,K181/J181)</t>
  </si>
  <si>
    <t>=O181-(N181*$H181)</t>
  </si>
  <si>
    <t>=IF(O181=0,0,P181/O181)</t>
  </si>
  <si>
    <t>=I181-N181</t>
  </si>
  <si>
    <t>=J181-O181</t>
  </si>
  <si>
    <t>=K181-P181</t>
  </si>
  <si>
    <t>=L181-Q181</t>
  </si>
  <si>
    <t>=W181</t>
  </si>
  <si>
    <t>=C186</t>
  </si>
  <si>
    <t>=J189-(I189*H189)</t>
  </si>
  <si>
    <t>=IF(J189=0,0,K189/J189)</t>
  </si>
  <si>
    <t>=O189-(N189*$H189)</t>
  </si>
  <si>
    <t>=IF(O189=0,0,P189/O189)</t>
  </si>
  <si>
    <t>=I189-N189</t>
  </si>
  <si>
    <t>=J189-O189</t>
  </si>
  <si>
    <t>=K189-P189</t>
  </si>
  <si>
    <t>=L189-Q189</t>
  </si>
  <si>
    <t>=C189</t>
  </si>
  <si>
    <t>=J190-(I190*H190)</t>
  </si>
  <si>
    <t>=IF(J190=0,0,K190/J190)</t>
  </si>
  <si>
    <t>=O190-(N190*$H190)</t>
  </si>
  <si>
    <t>=IF(O190=0,0,P190/O190)</t>
  </si>
  <si>
    <t>=I190-N190</t>
  </si>
  <si>
    <t>=J190-O190</t>
  </si>
  <si>
    <t>=K190-P190</t>
  </si>
  <si>
    <t>=L190-Q190</t>
  </si>
  <si>
    <t>=W190</t>
  </si>
  <si>
    <t>=C195</t>
  </si>
  <si>
    <t>=NL("First","27 Item","3 Description","1 No.","@@"&amp;$F198)</t>
  </si>
  <si>
    <t>=NL("First","27 Item","22 Unit Cost","1 No.","@@"&amp;$F198)</t>
  </si>
  <si>
    <t>=-NL("Sum","5802 Value Entry","14 Invoiced Quantity","41 Source Type","Customer","4 Item Ledger Entry Type","Sale","2 Item No.","@@"&amp;$F198,"3 Posting Date",I$8,"58 Gen. Prod. Posting Group",$F$7)</t>
  </si>
  <si>
    <t>=NL("Sum","5802 Value Entry","17 Sales Amount (Actual)","41 Source Type","Customer","4 Item Ledger Entry Type","Sale","2 Item No.","@@"&amp;$F198,"3 Posting Date",I$8,"58 Gen. Prod. Posting Group",$F$7)</t>
  </si>
  <si>
    <t>=J198-(I198*H198)</t>
  </si>
  <si>
    <t>=IF(J198=0,0,K198/J198)</t>
  </si>
  <si>
    <t>=-NL("Sum","5802 Value Entry","14 Invoiced Quantity","41 Source Type","Customer","4 Item Ledger Entry Type","Sale","2 Item No.","@@"&amp;$F198,"3 Posting Date",N$8,"58 Gen. Prod. Posting Group",$F$7)</t>
  </si>
  <si>
    <t>=NL("Sum","5802 Value Entry","17 Sales Amount (Actual)","41 Source Type","Customer","4 Item Ledger Entry Type","Sale","2 Item No.","@@"&amp;$F198,"3 Posting Date",N$8,"58 Gen. Prod. Posting Group",$F$7)</t>
  </si>
  <si>
    <t>=O198-(N198*$H198)</t>
  </si>
  <si>
    <t>=IF(O198=0,0,P198/O198)</t>
  </si>
  <si>
    <t>=I198-N198</t>
  </si>
  <si>
    <t>=J198-O198</t>
  </si>
  <si>
    <t>=K198-P198</t>
  </si>
  <si>
    <t>=L198-Q198</t>
  </si>
  <si>
    <t>=C198</t>
  </si>
  <si>
    <t>=W199</t>
  </si>
  <si>
    <t>=C218</t>
  </si>
  <si>
    <t>=NL("First","27 Item","3 Description","1 No.","@@"&amp;$F221)</t>
  </si>
  <si>
    <t>=NL("First","27 Item","22 Unit Cost","1 No.","@@"&amp;$F221)</t>
  </si>
  <si>
    <t>=-NL("Sum","5802 Value Entry","14 Invoiced Quantity","41 Source Type","Customer","4 Item Ledger Entry Type","Sale","2 Item No.","@@"&amp;$F221,"3 Posting Date",I$8,"58 Gen. Prod. Posting Group",$F$7)</t>
  </si>
  <si>
    <t>=NL("Sum","5802 Value Entry","17 Sales Amount (Actual)","41 Source Type","Customer","4 Item Ledger Entry Type","Sale","2 Item No.","@@"&amp;$F221,"3 Posting Date",I$8,"58 Gen. Prod. Posting Group",$F$7)</t>
  </si>
  <si>
    <t>=J221-(I221*H221)</t>
  </si>
  <si>
    <t>=IF(J221=0,0,K221/J221)</t>
  </si>
  <si>
    <t>=-NL("Sum","5802 Value Entry","14 Invoiced Quantity","41 Source Type","Customer","4 Item Ledger Entry Type","Sale","2 Item No.","@@"&amp;$F221,"3 Posting Date",N$8,"58 Gen. Prod. Posting Group",$F$7)</t>
  </si>
  <si>
    <t>=NL("Sum","5802 Value Entry","17 Sales Amount (Actual)","41 Source Type","Customer","4 Item Ledger Entry Type","Sale","2 Item No.","@@"&amp;$F221,"3 Posting Date",N$8,"58 Gen. Prod. Posting Group",$F$7)</t>
  </si>
  <si>
    <t>=O221-(N221*$H221)</t>
  </si>
  <si>
    <t>=IF(O221=0,0,P221/O221)</t>
  </si>
  <si>
    <t>=I221-N221</t>
  </si>
  <si>
    <t>=J221-O221</t>
  </si>
  <si>
    <t>=K221-P221</t>
  </si>
  <si>
    <t>=L221-Q221</t>
  </si>
  <si>
    <t>=C221</t>
  </si>
  <si>
    <t>=W222</t>
  </si>
  <si>
    <t>=C227</t>
  </si>
  <si>
    <t>=J228-(I228*H228)</t>
  </si>
  <si>
    <t>=IF(J228=0,0,K228/J228)</t>
  </si>
  <si>
    <t>=O228-(N228*$H228)</t>
  </si>
  <si>
    <t>=IF(O228=0,0,P228/O228)</t>
  </si>
  <si>
    <t>=I228-N228</t>
  </si>
  <si>
    <t>=J228-O228</t>
  </si>
  <si>
    <t>=K228-P228</t>
  </si>
  <si>
    <t>=L228-Q228</t>
  </si>
  <si>
    <t>=J229-(I229*H229)</t>
  </si>
  <si>
    <t>=O229-(N229*$H229)</t>
  </si>
  <si>
    <t>=I229-N229</t>
  </si>
  <si>
    <t>=J229-O229</t>
  </si>
  <si>
    <t>=K229-P229</t>
  </si>
  <si>
    <t>=J230-(I230*H230)</t>
  </si>
  <si>
    <t>=IF(J230=0,0,K230/J230)</t>
  </si>
  <si>
    <t>=O230-(N230*$H230)</t>
  </si>
  <si>
    <t>=IF(O230=0,0,P230/O230)</t>
  </si>
  <si>
    <t>=I230-N230</t>
  </si>
  <si>
    <t>=J230-O230</t>
  </si>
  <si>
    <t>=K230-P230</t>
  </si>
  <si>
    <t>=L230-Q230</t>
  </si>
  <si>
    <t>=W231</t>
  </si>
  <si>
    <t>=NL("First","27 Item","3 Description","1 No.","@@"&amp;$F228)</t>
  </si>
  <si>
    <t>=NL("First","27 Item","3 Description","1 No.","@@"&amp;$F229)</t>
  </si>
  <si>
    <t>=NL("First","27 Item","3 Description","1 No.","@@"&amp;$F230)</t>
  </si>
  <si>
    <t>=NL("First","27 Item","22 Unit Cost","1 No.","@@"&amp;$F228)</t>
  </si>
  <si>
    <t>=NL("First","27 Item","22 Unit Cost","1 No.","@@"&amp;$F229)</t>
  </si>
  <si>
    <t>=NL("First","27 Item","22 Unit Cost","1 No.","@@"&amp;$F230)</t>
  </si>
  <si>
    <t>=-NL("Sum","5802 Value Entry","14 Invoiced Quantity","41 Source Type","Customer","4 Item Ledger Entry Type","Sale","2 Item No.","@@"&amp;$F228,"3 Posting Date",I$8,"58 Gen. Prod. Posting Group",$F$7)</t>
  </si>
  <si>
    <t>=-NL("Sum","5802 Value Entry","14 Invoiced Quantity","41 Source Type","Customer","4 Item Ledger Entry Type","Sale","2 Item No.","@@"&amp;$F229,"3 Posting Date",I$8,"58 Gen. Prod. Posting Group",$F$7)</t>
  </si>
  <si>
    <t>=-NL("Sum","5802 Value Entry","14 Invoiced Quantity","41 Source Type","Customer","4 Item Ledger Entry Type","Sale","2 Item No.","@@"&amp;$F230,"3 Posting Date",I$8,"58 Gen. Prod. Posting Group",$F$7)</t>
  </si>
  <si>
    <t>=NL("Sum","5802 Value Entry","17 Sales Amount (Actual)","41 Source Type","Customer","4 Item Ledger Entry Type","Sale","2 Item No.","@@"&amp;$F228,"3 Posting Date",I$8,"58 Gen. Prod. Posting Group",$F$7)</t>
  </si>
  <si>
    <t>=NL("Sum","5802 Value Entry","17 Sales Amount (Actual)","41 Source Type","Customer","4 Item Ledger Entry Type","Sale","2 Item No.","@@"&amp;$F229,"3 Posting Date",I$8,"58 Gen. Prod. Posting Group",$F$7)</t>
  </si>
  <si>
    <t>=NL("Sum","5802 Value Entry","17 Sales Amount (Actual)","41 Source Type","Customer","4 Item Ledger Entry Type","Sale","2 Item No.","@@"&amp;$F230,"3 Posting Date",I$8,"58 Gen. Prod. Posting Group",$F$7)</t>
  </si>
  <si>
    <t>=-NL("Sum","5802 Value Entry","14 Invoiced Quantity","41 Source Type","Customer","4 Item Ledger Entry Type","Sale","2 Item No.","@@"&amp;$F228,"3 Posting Date",N$8,"58 Gen. Prod. Posting Group",$F$7)</t>
  </si>
  <si>
    <t>=-NL("Sum","5802 Value Entry","14 Invoiced Quantity","41 Source Type","Customer","4 Item Ledger Entry Type","Sale","2 Item No.","@@"&amp;$F229,"3 Posting Date",N$8,"58 Gen. Prod. Posting Group",$F$7)</t>
  </si>
  <si>
    <t>=-NL("Sum","5802 Value Entry","14 Invoiced Quantity","41 Source Type","Customer","4 Item Ledger Entry Type","Sale","2 Item No.","@@"&amp;$F230,"3 Posting Date",N$8,"58 Gen. Prod. Posting Group",$F$7)</t>
  </si>
  <si>
    <t>=NL("Sum","5802 Value Entry","17 Sales Amount (Actual)","41 Source Type","Customer","4 Item Ledger Entry Type","Sale","2 Item No.","@@"&amp;$F228,"3 Posting Date",N$8,"58 Gen. Prod. Posting Group",$F$7)</t>
  </si>
  <si>
    <t>=NL("Sum","5802 Value Entry","17 Sales Amount (Actual)","41 Source Type","Customer","4 Item Ledger Entry Type","Sale","2 Item No.","@@"&amp;$F229,"3 Posting Date",N$8,"58 Gen. Prod. Posting Group",$F$7)</t>
  </si>
  <si>
    <t>=NL("Sum","5802 Value Entry","17 Sales Amount (Actual)","41 Source Type","Customer","4 Item Ledger Entry Type","Sale","2 Item No.","@@"&amp;$F230,"3 Posting Date",N$8,"58 Gen. Prod. Posting Group",$F$7)</t>
  </si>
  <si>
    <t>=NL("First","27 Item","3 Description","1 No.","@@"&amp;$F189)</t>
  </si>
  <si>
    <t>=NL("First","27 Item","3 Description","1 No.","@@"&amp;$F190)</t>
  </si>
  <si>
    <t>=NL("First","27 Item","22 Unit Cost","1 No.","@@"&amp;$F189)</t>
  </si>
  <si>
    <t>=NL("First","27 Item","22 Unit Cost","1 No.","@@"&amp;$F190)</t>
  </si>
  <si>
    <t>=-NL("Sum","5802 Value Entry","14 Invoiced Quantity","41 Source Type","Customer","4 Item Ledger Entry Type","Sale","2 Item No.","@@"&amp;$F189,"3 Posting Date",I$8,"58 Gen. Prod. Posting Group",$F$7)</t>
  </si>
  <si>
    <t>=-NL("Sum","5802 Value Entry","14 Invoiced Quantity","41 Source Type","Customer","4 Item Ledger Entry Type","Sale","2 Item No.","@@"&amp;$F190,"3 Posting Date",I$8,"58 Gen. Prod. Posting Group",$F$7)</t>
  </si>
  <si>
    <t>=NL("Sum","5802 Value Entry","17 Sales Amount (Actual)","41 Source Type","Customer","4 Item Ledger Entry Type","Sale","2 Item No.","@@"&amp;$F189,"3 Posting Date",I$8,"58 Gen. Prod. Posting Group",$F$7)</t>
  </si>
  <si>
    <t>=NL("Sum","5802 Value Entry","17 Sales Amount (Actual)","41 Source Type","Customer","4 Item Ledger Entry Type","Sale","2 Item No.","@@"&amp;$F190,"3 Posting Date",I$8,"58 Gen. Prod. Posting Group",$F$7)</t>
  </si>
  <si>
    <t>=-NL("Sum","5802 Value Entry","14 Invoiced Quantity","41 Source Type","Customer","4 Item Ledger Entry Type","Sale","2 Item No.","@@"&amp;$F189,"3 Posting Date",N$8,"58 Gen. Prod. Posting Group",$F$7)</t>
  </si>
  <si>
    <t>=-NL("Sum","5802 Value Entry","14 Invoiced Quantity","41 Source Type","Customer","4 Item Ledger Entry Type","Sale","2 Item No.","@@"&amp;$F190,"3 Posting Date",N$8,"58 Gen. Prod. Posting Group",$F$7)</t>
  </si>
  <si>
    <t>=NL("Sum","5802 Value Entry","17 Sales Amount (Actual)","41 Source Type","Customer","4 Item Ledger Entry Type","Sale","2 Item No.","@@"&amp;$F189,"3 Posting Date",N$8,"58 Gen. Prod. Posting Group",$F$7)</t>
  </si>
  <si>
    <t>=NL("Sum","5802 Value Entry","17 Sales Amount (Actual)","41 Source Type","Customer","4 Item Ledger Entry Type","Sale","2 Item No.","@@"&amp;$F190,"3 Posting Date",N$8,"58 Gen. Prod. Posting Group",$F$7)</t>
  </si>
  <si>
    <t>=NL("First","27 Item","3 Description","1 No.","@@"&amp;$F169)</t>
  </si>
  <si>
    <t>=NL("First","27 Item","3 Description","1 No.","@@"&amp;$F170)</t>
  </si>
  <si>
    <t>=NL("First","27 Item","3 Description","1 No.","@@"&amp;$F171)</t>
  </si>
  <si>
    <t>=NL("First","27 Item","3 Description","1 No.","@@"&amp;$F172)</t>
  </si>
  <si>
    <t>=NL("First","27 Item","3 Description","1 No.","@@"&amp;$F178)</t>
  </si>
  <si>
    <t>=NL("First","27 Item","3 Description","1 No.","@@"&amp;$F179)</t>
  </si>
  <si>
    <t>=NL("First","27 Item","3 Description","1 No.","@@"&amp;$F180)</t>
  </si>
  <si>
    <t>=NL("First","27 Item","3 Description","1 No.","@@"&amp;$F181)</t>
  </si>
  <si>
    <t>=NL("First","27 Item","22 Unit Cost","1 No.","@@"&amp;$F169)</t>
  </si>
  <si>
    <t>=NL("First","27 Item","22 Unit Cost","1 No.","@@"&amp;$F170)</t>
  </si>
  <si>
    <t>=NL("First","27 Item","22 Unit Cost","1 No.","@@"&amp;$F171)</t>
  </si>
  <si>
    <t>=NL("First","27 Item","22 Unit Cost","1 No.","@@"&amp;$F172)</t>
  </si>
  <si>
    <t>=NL("First","27 Item","22 Unit Cost","1 No.","@@"&amp;$F178)</t>
  </si>
  <si>
    <t>=NL("First","27 Item","22 Unit Cost","1 No.","@@"&amp;$F179)</t>
  </si>
  <si>
    <t>=NL("First","27 Item","22 Unit Cost","1 No.","@@"&amp;$F180)</t>
  </si>
  <si>
    <t>=NL("First","27 Item","22 Unit Cost","1 No.","@@"&amp;$F181)</t>
  </si>
  <si>
    <t>=-NL("Sum","5802 Value Entry","14 Invoiced Quantity","41 Source Type","Customer","4 Item Ledger Entry Type","Sale","2 Item No.","@@"&amp;$F169,"3 Posting Date",I$8,"58 Gen. Prod. Posting Group",$F$7)</t>
  </si>
  <si>
    <t>=-NL("Sum","5802 Value Entry","14 Invoiced Quantity","41 Source Type","Customer","4 Item Ledger Entry Type","Sale","2 Item No.","@@"&amp;$F170,"3 Posting Date",I$8,"58 Gen. Prod. Posting Group",$F$7)</t>
  </si>
  <si>
    <t>=-NL("Sum","5802 Value Entry","14 Invoiced Quantity","41 Source Type","Customer","4 Item Ledger Entry Type","Sale","2 Item No.","@@"&amp;$F171,"3 Posting Date",I$8,"58 Gen. Prod. Posting Group",$F$7)</t>
  </si>
  <si>
    <t>=-NL("Sum","5802 Value Entry","14 Invoiced Quantity","41 Source Type","Customer","4 Item Ledger Entry Type","Sale","2 Item No.","@@"&amp;$F172,"3 Posting Date",I$8,"58 Gen. Prod. Posting Group",$F$7)</t>
  </si>
  <si>
    <t>=-NL("Sum","5802 Value Entry","14 Invoiced Quantity","41 Source Type","Customer","4 Item Ledger Entry Type","Sale","2 Item No.","@@"&amp;$F178,"3 Posting Date",I$8,"58 Gen. Prod. Posting Group",$F$7)</t>
  </si>
  <si>
    <t>=-NL("Sum","5802 Value Entry","14 Invoiced Quantity","41 Source Type","Customer","4 Item Ledger Entry Type","Sale","2 Item No.","@@"&amp;$F179,"3 Posting Date",I$8,"58 Gen. Prod. Posting Group",$F$7)</t>
  </si>
  <si>
    <t>=-NL("Sum","5802 Value Entry","14 Invoiced Quantity","41 Source Type","Customer","4 Item Ledger Entry Type","Sale","2 Item No.","@@"&amp;$F180,"3 Posting Date",I$8,"58 Gen. Prod. Posting Group",$F$7)</t>
  </si>
  <si>
    <t>=-NL("Sum","5802 Value Entry","14 Invoiced Quantity","41 Source Type","Customer","4 Item Ledger Entry Type","Sale","2 Item No.","@@"&amp;$F181,"3 Posting Date",I$8,"58 Gen. Prod. Posting Group",$F$7)</t>
  </si>
  <si>
    <t>=NL("Sum","5802 Value Entry","17 Sales Amount (Actual)","41 Source Type","Customer","4 Item Ledger Entry Type","Sale","2 Item No.","@@"&amp;$F169,"3 Posting Date",I$8,"58 Gen. Prod. Posting Group",$F$7)</t>
  </si>
  <si>
    <t>=NL("Sum","5802 Value Entry","17 Sales Amount (Actual)","41 Source Type","Customer","4 Item Ledger Entry Type","Sale","2 Item No.","@@"&amp;$F170,"3 Posting Date",I$8,"58 Gen. Prod. Posting Group",$F$7)</t>
  </si>
  <si>
    <t>=NL("Sum","5802 Value Entry","17 Sales Amount (Actual)","41 Source Type","Customer","4 Item Ledger Entry Type","Sale","2 Item No.","@@"&amp;$F171,"3 Posting Date",I$8,"58 Gen. Prod. Posting Group",$F$7)</t>
  </si>
  <si>
    <t>=NL("Sum","5802 Value Entry","17 Sales Amount (Actual)","41 Source Type","Customer","4 Item Ledger Entry Type","Sale","2 Item No.","@@"&amp;$F172,"3 Posting Date",I$8,"58 Gen. Prod. Posting Group",$F$7)</t>
  </si>
  <si>
    <t>=NL("Sum","5802 Value Entry","17 Sales Amount (Actual)","41 Source Type","Customer","4 Item Ledger Entry Type","Sale","2 Item No.","@@"&amp;$F178,"3 Posting Date",I$8,"58 Gen. Prod. Posting Group",$F$7)</t>
  </si>
  <si>
    <t>=NL("Sum","5802 Value Entry","17 Sales Amount (Actual)","41 Source Type","Customer","4 Item Ledger Entry Type","Sale","2 Item No.","@@"&amp;$F179,"3 Posting Date",I$8,"58 Gen. Prod. Posting Group",$F$7)</t>
  </si>
  <si>
    <t>=NL("Sum","5802 Value Entry","17 Sales Amount (Actual)","41 Source Type","Customer","4 Item Ledger Entry Type","Sale","2 Item No.","@@"&amp;$F180,"3 Posting Date",I$8,"58 Gen. Prod. Posting Group",$F$7)</t>
  </si>
  <si>
    <t>=NL("Sum","5802 Value Entry","17 Sales Amount (Actual)","41 Source Type","Customer","4 Item Ledger Entry Type","Sale","2 Item No.","@@"&amp;$F181,"3 Posting Date",I$8,"58 Gen. Prod. Posting Group",$F$7)</t>
  </si>
  <si>
    <t>=-NL("Sum","5802 Value Entry","14 Invoiced Quantity","41 Source Type","Customer","4 Item Ledger Entry Type","Sale","2 Item No.","@@"&amp;$F169,"3 Posting Date",N$8,"58 Gen. Prod. Posting Group",$F$7)</t>
  </si>
  <si>
    <t>=-NL("Sum","5802 Value Entry","14 Invoiced Quantity","41 Source Type","Customer","4 Item Ledger Entry Type","Sale","2 Item No.","@@"&amp;$F170,"3 Posting Date",N$8,"58 Gen. Prod. Posting Group",$F$7)</t>
  </si>
  <si>
    <t>=-NL("Sum","5802 Value Entry","14 Invoiced Quantity","41 Source Type","Customer","4 Item Ledger Entry Type","Sale","2 Item No.","@@"&amp;$F171,"3 Posting Date",N$8,"58 Gen. Prod. Posting Group",$F$7)</t>
  </si>
  <si>
    <t>=-NL("Sum","5802 Value Entry","14 Invoiced Quantity","41 Source Type","Customer","4 Item Ledger Entry Type","Sale","2 Item No.","@@"&amp;$F172,"3 Posting Date",N$8,"58 Gen. Prod. Posting Group",$F$7)</t>
  </si>
  <si>
    <t>=-NL("Sum","5802 Value Entry","14 Invoiced Quantity","41 Source Type","Customer","4 Item Ledger Entry Type","Sale","2 Item No.","@@"&amp;$F178,"3 Posting Date",N$8,"58 Gen. Prod. Posting Group",$F$7)</t>
  </si>
  <si>
    <t>=-NL("Sum","5802 Value Entry","14 Invoiced Quantity","41 Source Type","Customer","4 Item Ledger Entry Type","Sale","2 Item No.","@@"&amp;$F179,"3 Posting Date",N$8,"58 Gen. Prod. Posting Group",$F$7)</t>
  </si>
  <si>
    <t>=-NL("Sum","5802 Value Entry","14 Invoiced Quantity","41 Source Type","Customer","4 Item Ledger Entry Type","Sale","2 Item No.","@@"&amp;$F180,"3 Posting Date",N$8,"58 Gen. Prod. Posting Group",$F$7)</t>
  </si>
  <si>
    <t>=-NL("Sum","5802 Value Entry","14 Invoiced Quantity","41 Source Type","Customer","4 Item Ledger Entry Type","Sale","2 Item No.","@@"&amp;$F181,"3 Posting Date",N$8,"58 Gen. Prod. Posting Group",$F$7)</t>
  </si>
  <si>
    <t>=NL("Sum","5802 Value Entry","17 Sales Amount (Actual)","41 Source Type","Customer","4 Item Ledger Entry Type","Sale","2 Item No.","@@"&amp;$F169,"3 Posting Date",N$8,"58 Gen. Prod. Posting Group",$F$7)</t>
  </si>
  <si>
    <t>=NL("Sum","5802 Value Entry","17 Sales Amount (Actual)","41 Source Type","Customer","4 Item Ledger Entry Type","Sale","2 Item No.","@@"&amp;$F170,"3 Posting Date",N$8,"58 Gen. Prod. Posting Group",$F$7)</t>
  </si>
  <si>
    <t>=NL("Sum","5802 Value Entry","17 Sales Amount (Actual)","41 Source Type","Customer","4 Item Ledger Entry Type","Sale","2 Item No.","@@"&amp;$F171,"3 Posting Date",N$8,"58 Gen. Prod. Posting Group",$F$7)</t>
  </si>
  <si>
    <t>=NL("Sum","5802 Value Entry","17 Sales Amount (Actual)","41 Source Type","Customer","4 Item Ledger Entry Type","Sale","2 Item No.","@@"&amp;$F172,"3 Posting Date",N$8,"58 Gen. Prod. Posting Group",$F$7)</t>
  </si>
  <si>
    <t>=NL("Sum","5802 Value Entry","17 Sales Amount (Actual)","41 Source Type","Customer","4 Item Ledger Entry Type","Sale","2 Item No.","@@"&amp;$F178,"3 Posting Date",N$8,"58 Gen. Prod. Posting Group",$F$7)</t>
  </si>
  <si>
    <t>=NL("Sum","5802 Value Entry","17 Sales Amount (Actual)","41 Source Type","Customer","4 Item Ledger Entry Type","Sale","2 Item No.","@@"&amp;$F179,"3 Posting Date",N$8,"58 Gen. Prod. Posting Group",$F$7)</t>
  </si>
  <si>
    <t>=NL("Sum","5802 Value Entry","17 Sales Amount (Actual)","41 Source Type","Customer","4 Item Ledger Entry Type","Sale","2 Item No.","@@"&amp;$F180,"3 Posting Date",N$8,"58 Gen. Prod. Posting Group",$F$7)</t>
  </si>
  <si>
    <t>=NL("Sum","5802 Value Entry","17 Sales Amount (Actual)","41 Source Type","Customer","4 Item Ledger Entry Type","Sale","2 Item No.","@@"&amp;$F181,"3 Posting Date",N$8,"58 Gen. Prod. Posting Group",$F$7)</t>
  </si>
  <si>
    <t>=NL("First","27 Item","3 Description","1 No.","@@"&amp;$F160)</t>
  </si>
  <si>
    <t>=NL("First","27 Item","3 Description","1 No.","@@"&amp;$F161)</t>
  </si>
  <si>
    <t>=NL("First","27 Item","22 Unit Cost","1 No.","@@"&amp;$F160)</t>
  </si>
  <si>
    <t>=NL("First","27 Item","22 Unit Cost","1 No.","@@"&amp;$F161)</t>
  </si>
  <si>
    <t>=-NL("Sum","5802 Value Entry","14 Invoiced Quantity","41 Source Type","Customer","4 Item Ledger Entry Type","Sale","2 Item No.","@@"&amp;$F160,"3 Posting Date",I$8,"58 Gen. Prod. Posting Group",$F$7)</t>
  </si>
  <si>
    <t>=-NL("Sum","5802 Value Entry","14 Invoiced Quantity","41 Source Type","Customer","4 Item Ledger Entry Type","Sale","2 Item No.","@@"&amp;$F161,"3 Posting Date",I$8,"58 Gen. Prod. Posting Group",$F$7)</t>
  </si>
  <si>
    <t>=NL("Sum","5802 Value Entry","17 Sales Amount (Actual)","41 Source Type","Customer","4 Item Ledger Entry Type","Sale","2 Item No.","@@"&amp;$F160,"3 Posting Date",I$8,"58 Gen. Prod. Posting Group",$F$7)</t>
  </si>
  <si>
    <t>=NL("Sum","5802 Value Entry","17 Sales Amount (Actual)","41 Source Type","Customer","4 Item Ledger Entry Type","Sale","2 Item No.","@@"&amp;$F161,"3 Posting Date",I$8,"58 Gen. Prod. Posting Group",$F$7)</t>
  </si>
  <si>
    <t>=-NL("Sum","5802 Value Entry","14 Invoiced Quantity","41 Source Type","Customer","4 Item Ledger Entry Type","Sale","2 Item No.","@@"&amp;$F160,"3 Posting Date",N$8,"58 Gen. Prod. Posting Group",$F$7)</t>
  </si>
  <si>
    <t>=-NL("Sum","5802 Value Entry","14 Invoiced Quantity","41 Source Type","Customer","4 Item Ledger Entry Type","Sale","2 Item No.","@@"&amp;$F161,"3 Posting Date",N$8,"58 Gen. Prod. Posting Group",$F$7)</t>
  </si>
  <si>
    <t>=NL("Sum","5802 Value Entry","17 Sales Amount (Actual)","41 Source Type","Customer","4 Item Ledger Entry Type","Sale","2 Item No.","@@"&amp;$F160,"3 Posting Date",N$8,"58 Gen. Prod. Posting Group",$F$7)</t>
  </si>
  <si>
    <t>=NL("Sum","5802 Value Entry","17 Sales Amount (Actual)","41 Source Type","Customer","4 Item Ledger Entry Type","Sale","2 Item No.","@@"&amp;$F161,"3 Posting Date",N$8,"58 Gen. Prod. Posting Group",$F$7)</t>
  </si>
  <si>
    <t>=NL("First","27 Item","3 Description","1 No.","@@"&amp;$F124)</t>
  </si>
  <si>
    <t>=NL("First","27 Item","3 Description","1 No.","@@"&amp;$F125)</t>
  </si>
  <si>
    <t>=NL("First","27 Item","22 Unit Cost","1 No.","@@"&amp;$F124)</t>
  </si>
  <si>
    <t>=NL("First","27 Item","22 Unit Cost","1 No.","@@"&amp;$F125)</t>
  </si>
  <si>
    <t>=-NL("Sum","5802 Value Entry","14 Invoiced Quantity","41 Source Type","Customer","4 Item Ledger Entry Type","Sale","2 Item No.","@@"&amp;$F124,"3 Posting Date",I$8,"58 Gen. Prod. Posting Group",$F$7)</t>
  </si>
  <si>
    <t>=-NL("Sum","5802 Value Entry","14 Invoiced Quantity","41 Source Type","Customer","4 Item Ledger Entry Type","Sale","2 Item No.","@@"&amp;$F125,"3 Posting Date",I$8,"58 Gen. Prod. Posting Group",$F$7)</t>
  </si>
  <si>
    <t>=NL("Sum","5802 Value Entry","17 Sales Amount (Actual)","41 Source Type","Customer","4 Item Ledger Entry Type","Sale","2 Item No.","@@"&amp;$F124,"3 Posting Date",I$8,"58 Gen. Prod. Posting Group",$F$7)</t>
  </si>
  <si>
    <t>=NL("Sum","5802 Value Entry","17 Sales Amount (Actual)","41 Source Type","Customer","4 Item Ledger Entry Type","Sale","2 Item No.","@@"&amp;$F125,"3 Posting Date",I$8,"58 Gen. Prod. Posting Group",$F$7)</t>
  </si>
  <si>
    <t>=-NL("Sum","5802 Value Entry","14 Invoiced Quantity","41 Source Type","Customer","4 Item Ledger Entry Type","Sale","2 Item No.","@@"&amp;$F124,"3 Posting Date",N$8,"58 Gen. Prod. Posting Group",$F$7)</t>
  </si>
  <si>
    <t>=-NL("Sum","5802 Value Entry","14 Invoiced Quantity","41 Source Type","Customer","4 Item Ledger Entry Type","Sale","2 Item No.","@@"&amp;$F125,"3 Posting Date",N$8,"58 Gen. Prod. Posting Group",$F$7)</t>
  </si>
  <si>
    <t>=NL("Sum","5802 Value Entry","17 Sales Amount (Actual)","41 Source Type","Customer","4 Item Ledger Entry Type","Sale","2 Item No.","@@"&amp;$F124,"3 Posting Date",N$8,"58 Gen. Prod. Posting Group",$F$7)</t>
  </si>
  <si>
    <t>=NL("Sum","5802 Value Entry","17 Sales Amount (Actual)","41 Source Type","Customer","4 Item Ledger Entry Type","Sale","2 Item No.","@@"&amp;$F125,"3 Posting Date",N$8,"58 Gen. Prod. Posting Group",$F$7)</t>
  </si>
  <si>
    <t>=NL("First","27 Item","3 Description","1 No.","@@"&amp;$F115)</t>
  </si>
  <si>
    <t>=NL("First","27 Item","3 Description","1 No.","@@"&amp;$F116)</t>
  </si>
  <si>
    <t>=NL("First","27 Item","22 Unit Cost","1 No.","@@"&amp;$F115)</t>
  </si>
  <si>
    <t>=NL("First","27 Item","22 Unit Cost","1 No.","@@"&amp;$F116)</t>
  </si>
  <si>
    <t>=-NL("Sum","5802 Value Entry","14 Invoiced Quantity","41 Source Type","Customer","4 Item Ledger Entry Type","Sale","2 Item No.","@@"&amp;$F115,"3 Posting Date",I$8,"58 Gen. Prod. Posting Group",$F$7)</t>
  </si>
  <si>
    <t>=-NL("Sum","5802 Value Entry","14 Invoiced Quantity","41 Source Type","Customer","4 Item Ledger Entry Type","Sale","2 Item No.","@@"&amp;$F116,"3 Posting Date",I$8,"58 Gen. Prod. Posting Group",$F$7)</t>
  </si>
  <si>
    <t>=NL("Sum","5802 Value Entry","17 Sales Amount (Actual)","41 Source Type","Customer","4 Item Ledger Entry Type","Sale","2 Item No.","@@"&amp;$F115,"3 Posting Date",I$8,"58 Gen. Prod. Posting Group",$F$7)</t>
  </si>
  <si>
    <t>=NL("Sum","5802 Value Entry","17 Sales Amount (Actual)","41 Source Type","Customer","4 Item Ledger Entry Type","Sale","2 Item No.","@@"&amp;$F116,"3 Posting Date",I$8,"58 Gen. Prod. Posting Group",$F$7)</t>
  </si>
  <si>
    <t>=-NL("Sum","5802 Value Entry","14 Invoiced Quantity","41 Source Type","Customer","4 Item Ledger Entry Type","Sale","2 Item No.","@@"&amp;$F115,"3 Posting Date",N$8,"58 Gen. Prod. Posting Group",$F$7)</t>
  </si>
  <si>
    <t>=-NL("Sum","5802 Value Entry","14 Invoiced Quantity","41 Source Type","Customer","4 Item Ledger Entry Type","Sale","2 Item No.","@@"&amp;$F116,"3 Posting Date",N$8,"58 Gen. Prod. Posting Group",$F$7)</t>
  </si>
  <si>
    <t>=NL("Sum","5802 Value Entry","17 Sales Amount (Actual)","41 Source Type","Customer","4 Item Ledger Entry Type","Sale","2 Item No.","@@"&amp;$F115,"3 Posting Date",N$8,"58 Gen. Prod. Posting Group",$F$7)</t>
  </si>
  <si>
    <t>=NL("Sum","5802 Value Entry","17 Sales Amount (Actual)","41 Source Type","Customer","4 Item Ledger Entry Type","Sale","2 Item No.","@@"&amp;$F116,"3 Posting Date",N$8,"58 Gen. Prod. Posting Group",$F$7)</t>
  </si>
  <si>
    <t>=NL("First","27 Item","3 Description","1 No.","@@"&amp;$F92)</t>
  </si>
  <si>
    <t>=NL("First","27 Item","3 Description","1 No.","@@"&amp;$F93)</t>
  </si>
  <si>
    <t>=NL("First","27 Item","22 Unit Cost","1 No.","@@"&amp;$F92)</t>
  </si>
  <si>
    <t>=NL("First","27 Item","22 Unit Cost","1 No.","@@"&amp;$F93)</t>
  </si>
  <si>
    <t>=-NL("Sum","5802 Value Entry","14 Invoiced Quantity","41 Source Type","Customer","4 Item Ledger Entry Type","Sale","2 Item No.","@@"&amp;$F92,"3 Posting Date",I$8,"58 Gen. Prod. Posting Group",$F$7)</t>
  </si>
  <si>
    <t>=-NL("Sum","5802 Value Entry","14 Invoiced Quantity","41 Source Type","Customer","4 Item Ledger Entry Type","Sale","2 Item No.","@@"&amp;$F93,"3 Posting Date",I$8,"58 Gen. Prod. Posting Group",$F$7)</t>
  </si>
  <si>
    <t>=NL("Sum","5802 Value Entry","17 Sales Amount (Actual)","41 Source Type","Customer","4 Item Ledger Entry Type","Sale","2 Item No.","@@"&amp;$F92,"3 Posting Date",I$8,"58 Gen. Prod. Posting Group",$F$7)</t>
  </si>
  <si>
    <t>=NL("Sum","5802 Value Entry","17 Sales Amount (Actual)","41 Source Type","Customer","4 Item Ledger Entry Type","Sale","2 Item No.","@@"&amp;$F93,"3 Posting Date",I$8,"58 Gen. Prod. Posting Group",$F$7)</t>
  </si>
  <si>
    <t>=-NL("Sum","5802 Value Entry","14 Invoiced Quantity","41 Source Type","Customer","4 Item Ledger Entry Type","Sale","2 Item No.","@@"&amp;$F92,"3 Posting Date",N$8,"58 Gen. Prod. Posting Group",$F$7)</t>
  </si>
  <si>
    <t>=-NL("Sum","5802 Value Entry","14 Invoiced Quantity","41 Source Type","Customer","4 Item Ledger Entry Type","Sale","2 Item No.","@@"&amp;$F93,"3 Posting Date",N$8,"58 Gen. Prod. Posting Group",$F$7)</t>
  </si>
  <si>
    <t>=NL("Sum","5802 Value Entry","17 Sales Amount (Actual)","41 Source Type","Customer","4 Item Ledger Entry Type","Sale","2 Item No.","@@"&amp;$F92,"3 Posting Date",N$8,"58 Gen. Prod. Posting Group",$F$7)</t>
  </si>
  <si>
    <t>=NL("Sum","5802 Value Entry","17 Sales Amount (Actual)","41 Source Type","Customer","4 Item Ledger Entry Type","Sale","2 Item No.","@@"&amp;$F93,"3 Posting Date",N$8,"58 Gen. Prod. Posting Group",$F$7)</t>
  </si>
  <si>
    <t>=NL("First","27 Item","3 Description","1 No.","@@"&amp;$F83)</t>
  </si>
  <si>
    <t>=NL("First","27 Item","3 Description","1 No.","@@"&amp;$F84)</t>
  </si>
  <si>
    <t>=NL("First","27 Item","22 Unit Cost","1 No.","@@"&amp;$F83)</t>
  </si>
  <si>
    <t>=NL("First","27 Item","22 Unit Cost","1 No.","@@"&amp;$F84)</t>
  </si>
  <si>
    <t>=-NL("Sum","5802 Value Entry","14 Invoiced Quantity","41 Source Type","Customer","4 Item Ledger Entry Type","Sale","2 Item No.","@@"&amp;$F83,"3 Posting Date",I$8,"58 Gen. Prod. Posting Group",$F$7)</t>
  </si>
  <si>
    <t>=-NL("Sum","5802 Value Entry","14 Invoiced Quantity","41 Source Type","Customer","4 Item Ledger Entry Type","Sale","2 Item No.","@@"&amp;$F84,"3 Posting Date",I$8,"58 Gen. Prod. Posting Group",$F$7)</t>
  </si>
  <si>
    <t>=NL("Sum","5802 Value Entry","17 Sales Amount (Actual)","41 Source Type","Customer","4 Item Ledger Entry Type","Sale","2 Item No.","@@"&amp;$F83,"3 Posting Date",I$8,"58 Gen. Prod. Posting Group",$F$7)</t>
  </si>
  <si>
    <t>=NL("Sum","5802 Value Entry","17 Sales Amount (Actual)","41 Source Type","Customer","4 Item Ledger Entry Type","Sale","2 Item No.","@@"&amp;$F84,"3 Posting Date",I$8,"58 Gen. Prod. Posting Group",$F$7)</t>
  </si>
  <si>
    <t>=-NL("Sum","5802 Value Entry","14 Invoiced Quantity","41 Source Type","Customer","4 Item Ledger Entry Type","Sale","2 Item No.","@@"&amp;$F83,"3 Posting Date",N$8,"58 Gen. Prod. Posting Group",$F$7)</t>
  </si>
  <si>
    <t>=-NL("Sum","5802 Value Entry","14 Invoiced Quantity","41 Source Type","Customer","4 Item Ledger Entry Type","Sale","2 Item No.","@@"&amp;$F84,"3 Posting Date",N$8,"58 Gen. Prod. Posting Group",$F$7)</t>
  </si>
  <si>
    <t>=NL("Sum","5802 Value Entry","17 Sales Amount (Actual)","41 Source Type","Customer","4 Item Ledger Entry Type","Sale","2 Item No.","@@"&amp;$F83,"3 Posting Date",N$8,"58 Gen. Prod. Posting Group",$F$7)</t>
  </si>
  <si>
    <t>=NL("Sum","5802 Value Entry","17 Sales Amount (Actual)","41 Source Type","Customer","4 Item Ledger Entry Type","Sale","2 Item No.","@@"&amp;$F84,"3 Posting Date",N$8,"58 Gen. Prod. Posting Group",$F$7)</t>
  </si>
  <si>
    <t>=NL("First","27 Item","3 Description","1 No.","@@"&amp;$F74)</t>
  </si>
  <si>
    <t>=NL("First","27 Item","3 Description","1 No.","@@"&amp;$F75)</t>
  </si>
  <si>
    <t>=NL("First","27 Item","3 Description","1 No.","@@"&amp;$F76)</t>
  </si>
  <si>
    <t>=NL("First","27 Item","22 Unit Cost","1 No.","@@"&amp;$F74)</t>
  </si>
  <si>
    <t>=NL("First","27 Item","22 Unit Cost","1 No.","@@"&amp;$F75)</t>
  </si>
  <si>
    <t>=NL("First","27 Item","22 Unit Cost","1 No.","@@"&amp;$F76)</t>
  </si>
  <si>
    <t>=-NL("Sum","5802 Value Entry","14 Invoiced Quantity","41 Source Type","Customer","4 Item Ledger Entry Type","Sale","2 Item No.","@@"&amp;$F74,"3 Posting Date",I$8,"58 Gen. Prod. Posting Group",$F$7)</t>
  </si>
  <si>
    <t>=-NL("Sum","5802 Value Entry","14 Invoiced Quantity","41 Source Type","Customer","4 Item Ledger Entry Type","Sale","2 Item No.","@@"&amp;$F75,"3 Posting Date",I$8,"58 Gen. Prod. Posting Group",$F$7)</t>
  </si>
  <si>
    <t>=-NL("Sum","5802 Value Entry","14 Invoiced Quantity","41 Source Type","Customer","4 Item Ledger Entry Type","Sale","2 Item No.","@@"&amp;$F76,"3 Posting Date",I$8,"58 Gen. Prod. Posting Group",$F$7)</t>
  </si>
  <si>
    <t>=NL("Sum","5802 Value Entry","17 Sales Amount (Actual)","41 Source Type","Customer","4 Item Ledger Entry Type","Sale","2 Item No.","@@"&amp;$F74,"3 Posting Date",I$8,"58 Gen. Prod. Posting Group",$F$7)</t>
  </si>
  <si>
    <t>=NL("Sum","5802 Value Entry","17 Sales Amount (Actual)","41 Source Type","Customer","4 Item Ledger Entry Type","Sale","2 Item No.","@@"&amp;$F75,"3 Posting Date",I$8,"58 Gen. Prod. Posting Group",$F$7)</t>
  </si>
  <si>
    <t>=NL("Sum","5802 Value Entry","17 Sales Amount (Actual)","41 Source Type","Customer","4 Item Ledger Entry Type","Sale","2 Item No.","@@"&amp;$F76,"3 Posting Date",I$8,"58 Gen. Prod. Posting Group",$F$7)</t>
  </si>
  <si>
    <t>=-NL("Sum","5802 Value Entry","14 Invoiced Quantity","41 Source Type","Customer","4 Item Ledger Entry Type","Sale","2 Item No.","@@"&amp;$F74,"3 Posting Date",N$8,"58 Gen. Prod. Posting Group",$F$7)</t>
  </si>
  <si>
    <t>=-NL("Sum","5802 Value Entry","14 Invoiced Quantity","41 Source Type","Customer","4 Item Ledger Entry Type","Sale","2 Item No.","@@"&amp;$F75,"3 Posting Date",N$8,"58 Gen. Prod. Posting Group",$F$7)</t>
  </si>
  <si>
    <t>=-NL("Sum","5802 Value Entry","14 Invoiced Quantity","41 Source Type","Customer","4 Item Ledger Entry Type","Sale","2 Item No.","@@"&amp;$F76,"3 Posting Date",N$8,"58 Gen. Prod. Posting Group",$F$7)</t>
  </si>
  <si>
    <t>=NL("Sum","5802 Value Entry","17 Sales Amount (Actual)","41 Source Type","Customer","4 Item Ledger Entry Type","Sale","2 Item No.","@@"&amp;$F74,"3 Posting Date",N$8,"58 Gen. Prod. Posting Group",$F$7)</t>
  </si>
  <si>
    <t>=NL("Sum","5802 Value Entry","17 Sales Amount (Actual)","41 Source Type","Customer","4 Item Ledger Entry Type","Sale","2 Item No.","@@"&amp;$F75,"3 Posting Date",N$8,"58 Gen. Prod. Posting Group",$F$7)</t>
  </si>
  <si>
    <t>=NL("Sum","5802 Value Entry","17 Sales Amount (Actual)","41 Source Type","Customer","4 Item Ledger Entry Type","Sale","2 Item No.","@@"&amp;$F76,"3 Posting Date",N$8,"58 Gen. Prod. Posting Group",$F$7)</t>
  </si>
  <si>
    <t>=NL("Filter","27 Item","1 No.","1 No.",$F$6,"5704 Product Group Code",$F$8,"91 Gen. Prod. Posting Group",$F$7,,,"78 Sales ($)","&gt;0","64 Date Filter",$C$4&amp;"|"&amp;$C$5)</t>
  </si>
  <si>
    <t>=NL("Rows=5","27 Item","5704 Product Group Code","1 No.",$B$9)</t>
  </si>
  <si>
    <t>=SUBTOTAL(9,I13:I24)</t>
  </si>
  <si>
    <t>=SUBTOTAL(9,J13:J24)</t>
  </si>
  <si>
    <t>=SUBTOTAL(9,K13:K24)</t>
  </si>
  <si>
    <t>=SUBTOTAL(9,N13:N24)</t>
  </si>
  <si>
    <t>=SUBTOTAL(9,O13:O24)</t>
  </si>
  <si>
    <t>=SUM(P13:P24)</t>
  </si>
  <si>
    <t>=SUBTOTAL(9,S13:S24)</t>
  </si>
  <si>
    <t>=SUBTOTAL(9,T13:T24)</t>
  </si>
  <si>
    <t>=SUBTOTAL(9,U13:U24)</t>
  </si>
  <si>
    <t>=E27</t>
  </si>
  <si>
    <t>=NL("Rows","27 Item","1 No.","5704 Product Group Code","@@"&amp;C28,"1 No.",$F$6,"78 Sales (LCY)","&lt;&gt;0")</t>
  </si>
  <si>
    <t>=E27&amp;" Total"</t>
  </si>
  <si>
    <t>=SUBTOTAL(9,I28:I33)</t>
  </si>
  <si>
    <t>=SUBTOTAL(9,J28:J33)</t>
  </si>
  <si>
    <t>=SUBTOTAL(9,K28:K33)</t>
  </si>
  <si>
    <t>=SUBTOTAL(9,N28:N33)</t>
  </si>
  <si>
    <t>=SUBTOTAL(9,O28:O33)</t>
  </si>
  <si>
    <t>=SUM(P28:P33)</t>
  </si>
  <si>
    <t>=SUBTOTAL(9,S28:S33)</t>
  </si>
  <si>
    <t>=SUBTOTAL(9,T28:T33)</t>
  </si>
  <si>
    <t>=SUBTOTAL(9,U28:U33)</t>
  </si>
  <si>
    <t>=E36</t>
  </si>
  <si>
    <t>=NL("Rows","27 Item","1 No.","5704 Product Group Code","@@"&amp;C37,"1 No.",$F$6,"78 Sales (LCY)","&lt;&gt;0")</t>
  </si>
  <si>
    <t>=E36&amp;" Total"</t>
  </si>
  <si>
    <t>=SUBTOTAL(9,I37:I42)</t>
  </si>
  <si>
    <t>=SUBTOTAL(9,J37:J42)</t>
  </si>
  <si>
    <t>=SUBTOTAL(9,K37:K42)</t>
  </si>
  <si>
    <t>=SUBTOTAL(9,N37:N42)</t>
  </si>
  <si>
    <t>=SUBTOTAL(9,O37:O42)</t>
  </si>
  <si>
    <t>=SUM(P37:P42)</t>
  </si>
  <si>
    <t>=SUBTOTAL(9,S37:S42)</t>
  </si>
  <si>
    <t>=SUBTOTAL(9,T37:T42)</t>
  </si>
  <si>
    <t>=SUBTOTAL(9,U37:U42)</t>
  </si>
  <si>
    <t>=C43</t>
  </si>
  <si>
    <t>=E45</t>
  </si>
  <si>
    <t>=NL("Rows","27 Item","1 No.","5704 Product Group Code","@@"&amp;C46,"1 No.",$F$6,"78 Sales (LCY)","&lt;&gt;0")</t>
  </si>
  <si>
    <t>=E45&amp;" Total"</t>
  </si>
  <si>
    <t>=SUBTOTAL(9,I46:I47)</t>
  </si>
  <si>
    <t>=SUBTOTAL(9,J46:J47)</t>
  </si>
  <si>
    <t>=SUBTOTAL(9,K46:K47)</t>
  </si>
  <si>
    <t>=SUBTOTAL(9,N46:N47)</t>
  </si>
  <si>
    <t>=SUBTOTAL(9,O46:O47)</t>
  </si>
  <si>
    <t>=SUM(P46:P47)</t>
  </si>
  <si>
    <t>=SUBTOTAL(9,S46:S47)</t>
  </si>
  <si>
    <t>=SUBTOTAL(9,T46:T47)</t>
  </si>
  <si>
    <t>=SUBTOTAL(9,U46:U47)</t>
  </si>
  <si>
    <t>=E50</t>
  </si>
  <si>
    <t>=NL("Rows","27 Item","1 No.","5704 Product Group Code","@@"&amp;C51,"1 No.",$F$6,"78 Sales (LCY)","&lt;&gt;0")</t>
  </si>
  <si>
    <t>=J51-(I51*H51)</t>
  </si>
  <si>
    <t>=O51-(N51*$H51)</t>
  </si>
  <si>
    <t>=I51-N51</t>
  </si>
  <si>
    <t>=J51-O51</t>
  </si>
  <si>
    <t>=K51-P51</t>
  </si>
  <si>
    <t>=J52-(I52*H52)</t>
  </si>
  <si>
    <t>=IF(J52=0,0,K52/J52)</t>
  </si>
  <si>
    <t>=O52-(N52*$H52)</t>
  </si>
  <si>
    <t>=IF(O52=0,0,P52/O52)</t>
  </si>
  <si>
    <t>=I52-N52</t>
  </si>
  <si>
    <t>=J52-O52</t>
  </si>
  <si>
    <t>=K52-P52</t>
  </si>
  <si>
    <t>=L52-Q52</t>
  </si>
  <si>
    <t>=C52</t>
  </si>
  <si>
    <t>=J53-(I53*H53)</t>
  </si>
  <si>
    <t>=IF(J53=0,0,K53/J53)</t>
  </si>
  <si>
    <t>=O53-(N53*$H53)</t>
  </si>
  <si>
    <t>=IF(O53=0,0,P53/O53)</t>
  </si>
  <si>
    <t>=I53-N53</t>
  </si>
  <si>
    <t>=J53-O53</t>
  </si>
  <si>
    <t>=K53-P53</t>
  </si>
  <si>
    <t>=L53-Q53</t>
  </si>
  <si>
    <t>=W53</t>
  </si>
  <si>
    <t>=E50&amp;" Total"</t>
  </si>
  <si>
    <t>=SUBTOTAL(9,I51:I56)</t>
  </si>
  <si>
    <t>=SUBTOTAL(9,J51:J56)</t>
  </si>
  <si>
    <t>=SUBTOTAL(9,K51:K56)</t>
  </si>
  <si>
    <t>=SUBTOTAL(9,N51:N56)</t>
  </si>
  <si>
    <t>=SUBTOTAL(9,O51:O56)</t>
  </si>
  <si>
    <t>=SUM(P51:P56)</t>
  </si>
  <si>
    <t>=SUBTOTAL(9,S51:S56)</t>
  </si>
  <si>
    <t>=SUBTOTAL(9,T51:T56)</t>
  </si>
  <si>
    <t>=SUBTOTAL(9,U51:U56)</t>
  </si>
  <si>
    <t>=E59</t>
  </si>
  <si>
    <t>=NL("Rows","27 Item","1 No.","5704 Product Group Code","@@"&amp;C60,"1 No.",$F$6,"78 Sales (LCY)","&lt;&gt;0")</t>
  </si>
  <si>
    <t>=E59&amp;" Total"</t>
  </si>
  <si>
    <t>=SUBTOTAL(9,I60:I65)</t>
  </si>
  <si>
    <t>=SUBTOTAL(9,J60:J65)</t>
  </si>
  <si>
    <t>=SUBTOTAL(9,K60:K65)</t>
  </si>
  <si>
    <t>=SUBTOTAL(9,N60:N65)</t>
  </si>
  <si>
    <t>=SUBTOTAL(9,O60:O65)</t>
  </si>
  <si>
    <t>=SUM(P60:P65)</t>
  </si>
  <si>
    <t>=SUBTOTAL(9,S60:S65)</t>
  </si>
  <si>
    <t>=SUBTOTAL(9,T60:T65)</t>
  </si>
  <si>
    <t>=SUBTOTAL(9,U60:U65)</t>
  </si>
  <si>
    <t>=E68</t>
  </si>
  <si>
    <t>=NL("Rows","27 Item","1 No.","5704 Product Group Code","@@"&amp;C69,"1 No.",$F$6,"78 Sales (LCY)","&lt;&gt;0")</t>
  </si>
  <si>
    <t>=E68&amp;" Total"</t>
  </si>
  <si>
    <t>=SUBTOTAL(9,I69:I70)</t>
  </si>
  <si>
    <t>=SUBTOTAL(9,J69:J70)</t>
  </si>
  <si>
    <t>=SUBTOTAL(9,K69:K70)</t>
  </si>
  <si>
    <t>=SUBTOTAL(9,N69:N70)</t>
  </si>
  <si>
    <t>=SUBTOTAL(9,O69:O70)</t>
  </si>
  <si>
    <t>=SUM(P69:P70)</t>
  </si>
  <si>
    <t>=SUBTOTAL(9,S69:S70)</t>
  </si>
  <si>
    <t>=SUBTOTAL(9,T69:T70)</t>
  </si>
  <si>
    <t>=SUBTOTAL(9,U69:U70)</t>
  </si>
  <si>
    <t>=E73</t>
  </si>
  <si>
    <t>=NL("Rows","27 Item","1 No.","5704 Product Group Code","@@"&amp;C74,"1 No.",$F$6,"78 Sales (LCY)","&lt;&gt;0")</t>
  </si>
  <si>
    <t>=C76</t>
  </si>
  <si>
    <t>=J77-(I77*H77)</t>
  </si>
  <si>
    <t>=IF(J77=0,0,K77/J77)</t>
  </si>
  <si>
    <t>=O77-(N77*$H77)</t>
  </si>
  <si>
    <t>=IF(O77=0,0,P77/O77)</t>
  </si>
  <si>
    <t>=I77-N77</t>
  </si>
  <si>
    <t>=J77-O77</t>
  </si>
  <si>
    <t>=K77-P77</t>
  </si>
  <si>
    <t>=L77-Q77</t>
  </si>
  <si>
    <t>=E73&amp;" Total"</t>
  </si>
  <si>
    <t>=SUBTOTAL(9,I74:I79)</t>
  </si>
  <si>
    <t>=SUBTOTAL(9,J74:J79)</t>
  </si>
  <si>
    <t>=SUBTOTAL(9,K74:K79)</t>
  </si>
  <si>
    <t>=SUBTOTAL(9,N74:N79)</t>
  </si>
  <si>
    <t>=SUBTOTAL(9,O74:O79)</t>
  </si>
  <si>
    <t>=SUM(P74:P79)</t>
  </si>
  <si>
    <t>=SUBTOTAL(9,S74:S79)</t>
  </si>
  <si>
    <t>=SUBTOTAL(9,T74:T79)</t>
  </si>
  <si>
    <t>=SUBTOTAL(9,U74:U79)</t>
  </si>
  <si>
    <t>=E82</t>
  </si>
  <si>
    <t>=NL("Rows","27 Item","1 No.","5704 Product Group Code","@@"&amp;C83,"1 No.",$F$6,"78 Sales (LCY)","&lt;&gt;0")</t>
  </si>
  <si>
    <t>=J85-(I85*H85)</t>
  </si>
  <si>
    <t>=IF(J85=0,0,K85/J85)</t>
  </si>
  <si>
    <t>=O85-(N85*$H85)</t>
  </si>
  <si>
    <t>=IF(O85=0,0,P85/O85)</t>
  </si>
  <si>
    <t>=I85-N85</t>
  </si>
  <si>
    <t>=J85-O85</t>
  </si>
  <si>
    <t>=K85-P85</t>
  </si>
  <si>
    <t>=L85-Q85</t>
  </si>
  <si>
    <t>=J86-(I86*H86)</t>
  </si>
  <si>
    <t>=O86-(N86*$H86)</t>
  </si>
  <si>
    <t>=I86-N86</t>
  </si>
  <si>
    <t>=J86-O86</t>
  </si>
  <si>
    <t>=K86-P86</t>
  </si>
  <si>
    <t>=J94-(I94*H94)</t>
  </si>
  <si>
    <t>=IF(J94=0,0,K94/J94)</t>
  </si>
  <si>
    <t>=O94-(N94*$H94)</t>
  </si>
  <si>
    <t>=IF(O94=0,0,P94/O94)</t>
  </si>
  <si>
    <t>=I94-N94</t>
  </si>
  <si>
    <t>=J94-O94</t>
  </si>
  <si>
    <t>=K94-P94</t>
  </si>
  <si>
    <t>=L94-Q94</t>
  </si>
  <si>
    <t>=J95-(I95*H95)</t>
  </si>
  <si>
    <t>=O95-(N95*$H95)</t>
  </si>
  <si>
    <t>=I95-N95</t>
  </si>
  <si>
    <t>=J95-O95</t>
  </si>
  <si>
    <t>=K95-P95</t>
  </si>
  <si>
    <t>=J101-(I101*H101)</t>
  </si>
  <si>
    <t>=IF(J101=0,0,K101/J101)</t>
  </si>
  <si>
    <t>=O101-(N101*$H101)</t>
  </si>
  <si>
    <t>=IF(O101=0,0,P101/O101)</t>
  </si>
  <si>
    <t>=I101-N101</t>
  </si>
  <si>
    <t>=J101-O101</t>
  </si>
  <si>
    <t>=K101-P101</t>
  </si>
  <si>
    <t>=L101-Q101</t>
  </si>
  <si>
    <t>=E82&amp;" Total"</t>
  </si>
  <si>
    <t>=SUBTOTAL(9,I83:I102)</t>
  </si>
  <si>
    <t>=SUBTOTAL(9,J83:J102)</t>
  </si>
  <si>
    <t>=SUBTOTAL(9,K83:K102)</t>
  </si>
  <si>
    <t>=SUBTOTAL(9,N83:N102)</t>
  </si>
  <si>
    <t>=SUBTOTAL(9,O83:O102)</t>
  </si>
  <si>
    <t>=SUM(P83:P102)</t>
  </si>
  <si>
    <t>=SUBTOTAL(9,S83:S102)</t>
  </si>
  <si>
    <t>=SUBTOTAL(9,T83:T102)</t>
  </si>
  <si>
    <t>=SUBTOTAL(9,U83:U102)</t>
  </si>
  <si>
    <t>=E105</t>
  </si>
  <si>
    <t>=NL("Rows","27 Item","1 No.","5704 Product Group Code","@@"&amp;C106,"1 No.",$F$6,"78 Sales (LCY)","&lt;&gt;0")</t>
  </si>
  <si>
    <t>=J109-(I109*H109)</t>
  </si>
  <si>
    <t>=O109-(N109*$H109)</t>
  </si>
  <si>
    <t>=I109-N109</t>
  </si>
  <si>
    <t>=J109-O109</t>
  </si>
  <si>
    <t>=K109-P109</t>
  </si>
  <si>
    <t>=J110-(I110*H110)</t>
  </si>
  <si>
    <t>=O110-(N110*$H110)</t>
  </si>
  <si>
    <t>=I110-N110</t>
  </si>
  <si>
    <t>=J110-O110</t>
  </si>
  <si>
    <t>=K110-P110</t>
  </si>
  <si>
    <t>=E105&amp;" Total"</t>
  </si>
  <si>
    <t>=SUBTOTAL(9,I106:I111)</t>
  </si>
  <si>
    <t>=SUBTOTAL(9,J106:J111)</t>
  </si>
  <si>
    <t>=SUBTOTAL(9,K106:K111)</t>
  </si>
  <si>
    <t>=SUBTOTAL(9,N106:N111)</t>
  </si>
  <si>
    <t>=SUBTOTAL(9,O106:O111)</t>
  </si>
  <si>
    <t>=SUM(P106:P111)</t>
  </si>
  <si>
    <t>=SUBTOTAL(9,S106:S111)</t>
  </si>
  <si>
    <t>=SUBTOTAL(9,T106:T111)</t>
  </si>
  <si>
    <t>=SUBTOTAL(9,U106:U111)</t>
  </si>
  <si>
    <t>=E114</t>
  </si>
  <si>
    <t>=NL("Rows","27 Item","1 No.","5704 Product Group Code","@@"&amp;C115,"1 No.",$F$6,"78 Sales (LCY)","&lt;&gt;0")</t>
  </si>
  <si>
    <t>=C116</t>
  </si>
  <si>
    <t>=J117-(I117*H117)</t>
  </si>
  <si>
    <t>=IF(J117=0,0,K117/J117)</t>
  </si>
  <si>
    <t>=O117-(N117*$H117)</t>
  </si>
  <si>
    <t>=IF(O117=0,0,P117/O117)</t>
  </si>
  <si>
    <t>=I117-N117</t>
  </si>
  <si>
    <t>=J117-O117</t>
  </si>
  <si>
    <t>=K117-P117</t>
  </si>
  <si>
    <t>=L117-Q117</t>
  </si>
  <si>
    <t>=E114&amp;" Total"</t>
  </si>
  <si>
    <t>=SUBTOTAL(9,I115:I120)</t>
  </si>
  <si>
    <t>=SUBTOTAL(9,J115:J120)</t>
  </si>
  <si>
    <t>=SUBTOTAL(9,K115:K120)</t>
  </si>
  <si>
    <t>=SUBTOTAL(9,N115:N120)</t>
  </si>
  <si>
    <t>=SUBTOTAL(9,O115:O120)</t>
  </si>
  <si>
    <t>=SUM(P115:P120)</t>
  </si>
  <si>
    <t>=SUBTOTAL(9,S115:S120)</t>
  </si>
  <si>
    <t>=SUBTOTAL(9,T115:T120)</t>
  </si>
  <si>
    <t>=SUBTOTAL(9,U115:U120)</t>
  </si>
  <si>
    <t>=E123</t>
  </si>
  <si>
    <t>=NL("Rows","27 Item","1 No.","5704 Product Group Code","@@"&amp;C124,"1 No.",$F$6,"78 Sales (LCY)","&lt;&gt;0")</t>
  </si>
  <si>
    <t>=C125</t>
  </si>
  <si>
    <t>=J126-(I126*H126)</t>
  </si>
  <si>
    <t>=IF(J126=0,0,K126/J126)</t>
  </si>
  <si>
    <t>=O126-(N126*$H126)</t>
  </si>
  <si>
    <t>=IF(O126=0,0,P126/O126)</t>
  </si>
  <si>
    <t>=I126-N126</t>
  </si>
  <si>
    <t>=J126-O126</t>
  </si>
  <si>
    <t>=K126-P126</t>
  </si>
  <si>
    <t>=L126-Q126</t>
  </si>
  <si>
    <t>=J128-(I128*H128)</t>
  </si>
  <si>
    <t>=IF(J128=0,0,K128/J128)</t>
  </si>
  <si>
    <t>=O128-(N128*$H128)</t>
  </si>
  <si>
    <t>=IF(O128=0,0,P128/O128)</t>
  </si>
  <si>
    <t>=I128-N128</t>
  </si>
  <si>
    <t>=J128-O128</t>
  </si>
  <si>
    <t>=K128-P128</t>
  </si>
  <si>
    <t>=L128-Q128</t>
  </si>
  <si>
    <t>=E123&amp;" Total"</t>
  </si>
  <si>
    <t>=SUBTOTAL(9,I124:I129)</t>
  </si>
  <si>
    <t>=SUBTOTAL(9,J124:J129)</t>
  </si>
  <si>
    <t>=SUBTOTAL(9,K124:K129)</t>
  </si>
  <si>
    <t>=SUBTOTAL(9,N124:N129)</t>
  </si>
  <si>
    <t>=SUBTOTAL(9,O124:O129)</t>
  </si>
  <si>
    <t>=SUM(P124:P129)</t>
  </si>
  <si>
    <t>=SUBTOTAL(9,S124:S129)</t>
  </si>
  <si>
    <t>=SUBTOTAL(9,T124:T129)</t>
  </si>
  <si>
    <t>=SUBTOTAL(9,U124:U129)</t>
  </si>
  <si>
    <t>=E132</t>
  </si>
  <si>
    <t>=NL("Rows","27 Item","1 No.","5704 Product Group Code","@@"&amp;C133,"1 No.",$F$6,"78 Sales (LCY)","&lt;&gt;0")</t>
  </si>
  <si>
    <t>=J137-(I137*H137)</t>
  </si>
  <si>
    <t>=IF(J137=0,0,K137/J137)</t>
  </si>
  <si>
    <t>=O137-(N137*$H137)</t>
  </si>
  <si>
    <t>=IF(O137=0,0,P137/O137)</t>
  </si>
  <si>
    <t>=I137-N137</t>
  </si>
  <si>
    <t>=J137-O137</t>
  </si>
  <si>
    <t>=K137-P137</t>
  </si>
  <si>
    <t>=L137-Q137</t>
  </si>
  <si>
    <t>=E132&amp;" Total"</t>
  </si>
  <si>
    <t>=SUBTOTAL(9,I133:I138)</t>
  </si>
  <si>
    <t>=SUBTOTAL(9,J133:J138)</t>
  </si>
  <si>
    <t>=SUBTOTAL(9,K133:K138)</t>
  </si>
  <si>
    <t>=SUBTOTAL(9,N133:N138)</t>
  </si>
  <si>
    <t>=SUBTOTAL(9,O133:O138)</t>
  </si>
  <si>
    <t>=SUM(P133:P138)</t>
  </si>
  <si>
    <t>=SUBTOTAL(9,S133:S138)</t>
  </si>
  <si>
    <t>=SUBTOTAL(9,T133:T138)</t>
  </si>
  <si>
    <t>=SUBTOTAL(9,U133:U138)</t>
  </si>
  <si>
    <t>=E141</t>
  </si>
  <si>
    <t>=NL("Rows","27 Item","1 No.","5704 Product Group Code","@@"&amp;C142,"1 No.",$F$6,"78 Sales (LCY)","&lt;&gt;0")</t>
  </si>
  <si>
    <t>=J146-(I146*H146)</t>
  </si>
  <si>
    <t>=IF(J146=0,0,K146/J146)</t>
  </si>
  <si>
    <t>=O146-(N146*$H146)</t>
  </si>
  <si>
    <t>=IF(O146=0,0,P146/O146)</t>
  </si>
  <si>
    <t>=I146-N146</t>
  </si>
  <si>
    <t>=J146-O146</t>
  </si>
  <si>
    <t>=K146-P146</t>
  </si>
  <si>
    <t>=L146-Q146</t>
  </si>
  <si>
    <t>=E141&amp;" Total"</t>
  </si>
  <si>
    <t>=SUBTOTAL(9,I142:I147)</t>
  </si>
  <si>
    <t>=SUBTOTAL(9,J142:J147)</t>
  </si>
  <si>
    <t>=SUBTOTAL(9,K142:K147)</t>
  </si>
  <si>
    <t>=SUBTOTAL(9,N142:N147)</t>
  </si>
  <si>
    <t>=SUBTOTAL(9,O142:O147)</t>
  </si>
  <si>
    <t>=SUM(P142:P147)</t>
  </si>
  <si>
    <t>=SUBTOTAL(9,S142:S147)</t>
  </si>
  <si>
    <t>=SUBTOTAL(9,T142:T147)</t>
  </si>
  <si>
    <t>=SUBTOTAL(9,U142:U147)</t>
  </si>
  <si>
    <t>=E150</t>
  </si>
  <si>
    <t>=NL("Rows","27 Item","1 No.","5704 Product Group Code","@@"&amp;C151,"1 No.",$F$6,"78 Sales (LCY)","&lt;&gt;0")</t>
  </si>
  <si>
    <t>=J155-(I155*H155)</t>
  </si>
  <si>
    <t>=IF(J155=0,0,K155/J155)</t>
  </si>
  <si>
    <t>=O155-(N155*$H155)</t>
  </si>
  <si>
    <t>=IF(O155=0,0,P155/O155)</t>
  </si>
  <si>
    <t>=I155-N155</t>
  </si>
  <si>
    <t>=J155-O155</t>
  </si>
  <si>
    <t>=K155-P155</t>
  </si>
  <si>
    <t>=L155-Q155</t>
  </si>
  <si>
    <t>=E150&amp;" Total"</t>
  </si>
  <si>
    <t>=SUBTOTAL(9,I151:I156)</t>
  </si>
  <si>
    <t>=SUBTOTAL(9,J151:J156)</t>
  </si>
  <si>
    <t>=SUBTOTAL(9,K151:K156)</t>
  </si>
  <si>
    <t>=SUBTOTAL(9,N151:N156)</t>
  </si>
  <si>
    <t>=SUBTOTAL(9,O151:O156)</t>
  </si>
  <si>
    <t>=SUM(P151:P156)</t>
  </si>
  <si>
    <t>=SUBTOTAL(9,S151:S156)</t>
  </si>
  <si>
    <t>=SUBTOTAL(9,T151:T156)</t>
  </si>
  <si>
    <t>=SUBTOTAL(9,U151:U156)</t>
  </si>
  <si>
    <t>=E159</t>
  </si>
  <si>
    <t>=NL("Rows","27 Item","1 No.","5704 Product Group Code","@@"&amp;C160,"1 No.",$F$6,"78 Sales (LCY)","&lt;&gt;0")</t>
  </si>
  <si>
    <t>=J162-(I162*H162)</t>
  </si>
  <si>
    <t>=IF(J162=0,0,K162/J162)</t>
  </si>
  <si>
    <t>=O162-(N162*$H162)</t>
  </si>
  <si>
    <t>=IF(O162=0,0,P162/O162)</t>
  </si>
  <si>
    <t>=I162-N162</t>
  </si>
  <si>
    <t>=J162-O162</t>
  </si>
  <si>
    <t>=K162-P162</t>
  </si>
  <si>
    <t>=L162-Q162</t>
  </si>
  <si>
    <t>=J163-(I163*H163)</t>
  </si>
  <si>
    <t>=O163-(N163*$H163)</t>
  </si>
  <si>
    <t>=I163-N163</t>
  </si>
  <si>
    <t>=J163-O163</t>
  </si>
  <si>
    <t>=K163-P163</t>
  </si>
  <si>
    <t>=E159&amp;" Total"</t>
  </si>
  <si>
    <t>=SUBTOTAL(9,I160:I165)</t>
  </si>
  <si>
    <t>=SUBTOTAL(9,J160:J165)</t>
  </si>
  <si>
    <t>=SUBTOTAL(9,K160:K165)</t>
  </si>
  <si>
    <t>=SUBTOTAL(9,N160:N165)</t>
  </si>
  <si>
    <t>=SUBTOTAL(9,O160:O165)</t>
  </si>
  <si>
    <t>=SUM(P160:P165)</t>
  </si>
  <si>
    <t>=SUBTOTAL(9,S160:S165)</t>
  </si>
  <si>
    <t>=SUBTOTAL(9,T160:T165)</t>
  </si>
  <si>
    <t>=SUBTOTAL(9,U160:U165)</t>
  </si>
  <si>
    <t>=E168</t>
  </si>
  <si>
    <t>=NL("Rows","27 Item","1 No.","5704 Product Group Code","@@"&amp;C169,"1 No.",$F$6,"78 Sales (LCY)","&lt;&gt;0")</t>
  </si>
  <si>
    <t>=E168&amp;" Total"</t>
  </si>
  <si>
    <t>=SUBTOTAL(9,I169:I174)</t>
  </si>
  <si>
    <t>=SUBTOTAL(9,J169:J174)</t>
  </si>
  <si>
    <t>=SUBTOTAL(9,K169:K174)</t>
  </si>
  <si>
    <t>=SUBTOTAL(9,N169:N174)</t>
  </si>
  <si>
    <t>=SUBTOTAL(9,O169:O174)</t>
  </si>
  <si>
    <t>=SUM(P169:P174)</t>
  </si>
  <si>
    <t>=SUBTOTAL(9,S169:S174)</t>
  </si>
  <si>
    <t>=SUBTOTAL(9,T169:T174)</t>
  </si>
  <si>
    <t>=SUBTOTAL(9,U169:U174)</t>
  </si>
  <si>
    <t>=E177</t>
  </si>
  <si>
    <t>=NL("Rows","27 Item","1 No.","5704 Product Group Code","@@"&amp;C178,"1 No.",$F$6,"78 Sales (LCY)","&lt;&gt;0")</t>
  </si>
  <si>
    <t>=E177&amp;" Total"</t>
  </si>
  <si>
    <t>=SUBTOTAL(9,I178:I182)</t>
  </si>
  <si>
    <t>=SUBTOTAL(9,J178:J182)</t>
  </si>
  <si>
    <t>=SUBTOTAL(9,K178:K182)</t>
  </si>
  <si>
    <t>=SUBTOTAL(9,N178:N182)</t>
  </si>
  <si>
    <t>=SUBTOTAL(9,O178:O182)</t>
  </si>
  <si>
    <t>=SUM(P178:P182)</t>
  </si>
  <si>
    <t>=SUBTOTAL(9,S178:S182)</t>
  </si>
  <si>
    <t>=SUBTOTAL(9,T178:T182)</t>
  </si>
  <si>
    <t>=SUBTOTAL(9,U178:U182)</t>
  </si>
  <si>
    <t>=E185</t>
  </si>
  <si>
    <t>=NL("Rows","27 Item","1 No.","5704 Product Group Code","@@"&amp;C186,"1 No.",$F$6,"78 Sales (LCY)","&lt;&gt;0")</t>
  </si>
  <si>
    <t>=J187-(I187*H187)</t>
  </si>
  <si>
    <t>=IF(J187=0,0,K187/J187)</t>
  </si>
  <si>
    <t>=O187-(N187*$H187)</t>
  </si>
  <si>
    <t>=IF(O187=0,0,P187/O187)</t>
  </si>
  <si>
    <t>=I187-N187</t>
  </si>
  <si>
    <t>=J187-O187</t>
  </si>
  <si>
    <t>=K187-P187</t>
  </si>
  <si>
    <t>=L187-Q187</t>
  </si>
  <si>
    <t>=J188-(I188*H188)</t>
  </si>
  <si>
    <t>=O188-(N188*$H188)</t>
  </si>
  <si>
    <t>=I188-N188</t>
  </si>
  <si>
    <t>=J188-O188</t>
  </si>
  <si>
    <t>=K188-P188</t>
  </si>
  <si>
    <t>=E185&amp;" Total"</t>
  </si>
  <si>
    <t>=SUBTOTAL(9,I186:I191)</t>
  </si>
  <si>
    <t>=SUBTOTAL(9,J186:J191)</t>
  </si>
  <si>
    <t>=SUBTOTAL(9,K186:K191)</t>
  </si>
  <si>
    <t>=SUBTOTAL(9,N186:N191)</t>
  </si>
  <si>
    <t>=SUBTOTAL(9,O186:O191)</t>
  </si>
  <si>
    <t>=SUM(P186:P191)</t>
  </si>
  <si>
    <t>=SUBTOTAL(9,S186:S191)</t>
  </si>
  <si>
    <t>=SUBTOTAL(9,T186:T191)</t>
  </si>
  <si>
    <t>=SUBTOTAL(9,U186:U191)</t>
  </si>
  <si>
    <t>=E194</t>
  </si>
  <si>
    <t>=NL("Rows","27 Item","1 No.","5704 Product Group Code","@@"&amp;C195,"1 No.",$F$6,"78 Sales (LCY)","&lt;&gt;0")</t>
  </si>
  <si>
    <t>=J196-(I196*H196)</t>
  </si>
  <si>
    <t>=IF(J196=0,0,K196/J196)</t>
  </si>
  <si>
    <t>=O196-(N196*$H196)</t>
  </si>
  <si>
    <t>=IF(O196=0,0,P196/O196)</t>
  </si>
  <si>
    <t>=I196-N196</t>
  </si>
  <si>
    <t>=J196-O196</t>
  </si>
  <si>
    <t>=K196-P196</t>
  </si>
  <si>
    <t>=L196-Q196</t>
  </si>
  <si>
    <t>=J197-(I197*H197)</t>
  </si>
  <si>
    <t>=O197-(N197*$H197)</t>
  </si>
  <si>
    <t>=I197-N197</t>
  </si>
  <si>
    <t>=J197-O197</t>
  </si>
  <si>
    <t>=K197-P197</t>
  </si>
  <si>
    <t>=J199-(I199*H199)</t>
  </si>
  <si>
    <t>=IF(J199=0,0,K199/J199)</t>
  </si>
  <si>
    <t>=O199-(N199*$H199)</t>
  </si>
  <si>
    <t>=IF(O199=0,0,P199/O199)</t>
  </si>
  <si>
    <t>=I199-N199</t>
  </si>
  <si>
    <t>=J199-O199</t>
  </si>
  <si>
    <t>=K199-P199</t>
  </si>
  <si>
    <t>=L199-Q199</t>
  </si>
  <si>
    <t>=E194&amp;" Total"</t>
  </si>
  <si>
    <t>=SUBTOTAL(9,I195:I200)</t>
  </si>
  <si>
    <t>=SUBTOTAL(9,J195:J200)</t>
  </si>
  <si>
    <t>=SUBTOTAL(9,K195:K200)</t>
  </si>
  <si>
    <t>=SUBTOTAL(9,N195:N200)</t>
  </si>
  <si>
    <t>=SUBTOTAL(9,O195:O200)</t>
  </si>
  <si>
    <t>=SUM(P195:P200)</t>
  </si>
  <si>
    <t>=SUBTOTAL(9,S195:S200)</t>
  </si>
  <si>
    <t>=SUBTOTAL(9,T195:T200)</t>
  </si>
  <si>
    <t>=SUBTOTAL(9,U195:U200)</t>
  </si>
  <si>
    <t>=E203</t>
  </si>
  <si>
    <t>=NL("Rows","27 Item","1 No.","5704 Product Group Code","@@"&amp;C204,"1 No.",$F$6,"78 Sales (LCY)","&lt;&gt;0")</t>
  </si>
  <si>
    <t>=E203&amp;" Total"</t>
  </si>
  <si>
    <t>=SUBTOTAL(9,I204:I209)</t>
  </si>
  <si>
    <t>=SUBTOTAL(9,J204:J209)</t>
  </si>
  <si>
    <t>=SUBTOTAL(9,K204:K209)</t>
  </si>
  <si>
    <t>=SUBTOTAL(9,N204:N209)</t>
  </si>
  <si>
    <t>=SUBTOTAL(9,O204:O209)</t>
  </si>
  <si>
    <t>=SUM(P204:P209)</t>
  </si>
  <si>
    <t>=SUBTOTAL(9,S204:S209)</t>
  </si>
  <si>
    <t>=SUBTOTAL(9,T204:T209)</t>
  </si>
  <si>
    <t>=SUBTOTAL(9,U204:U209)</t>
  </si>
  <si>
    <t>=E212</t>
  </si>
  <si>
    <t>=NL("Rows","27 Item","1 No.","5704 Product Group Code","@@"&amp;C213,"1 No.",$F$6,"78 Sales (LCY)","&lt;&gt;0")</t>
  </si>
  <si>
    <t>=J219-(I219*H219)</t>
  </si>
  <si>
    <t>=IF(J219=0,0,K219/J219)</t>
  </si>
  <si>
    <t>=O219-(N219*$H219)</t>
  </si>
  <si>
    <t>=IF(O219=0,0,P219/O219)</t>
  </si>
  <si>
    <t>=I219-N219</t>
  </si>
  <si>
    <t>=J219-O219</t>
  </si>
  <si>
    <t>=K219-P219</t>
  </si>
  <si>
    <t>=L219-Q219</t>
  </si>
  <si>
    <t>=J220-(I220*H220)</t>
  </si>
  <si>
    <t>=O220-(N220*$H220)</t>
  </si>
  <si>
    <t>=I220-N220</t>
  </si>
  <si>
    <t>=J220-O220</t>
  </si>
  <si>
    <t>=K220-P220</t>
  </si>
  <si>
    <t>=J222-(I222*H222)</t>
  </si>
  <si>
    <t>=IF(J222=0,0,K222/J222)</t>
  </si>
  <si>
    <t>=O222-(N222*$H222)</t>
  </si>
  <si>
    <t>=IF(O222=0,0,P222/O222)</t>
  </si>
  <si>
    <t>=I222-N222</t>
  </si>
  <si>
    <t>=J222-O222</t>
  </si>
  <si>
    <t>=K222-P222</t>
  </si>
  <si>
    <t>=L222-Q222</t>
  </si>
  <si>
    <t>=C230</t>
  </si>
  <si>
    <t>=J231-(I231*H231)</t>
  </si>
  <si>
    <t>=IF(J231=0,0,K231/J231)</t>
  </si>
  <si>
    <t>=O231-(N231*$H231)</t>
  </si>
  <si>
    <t>=IF(O231=0,0,P231/O231)</t>
  </si>
  <si>
    <t>=I231-N231</t>
  </si>
  <si>
    <t>=J231-O231</t>
  </si>
  <si>
    <t>=K231-P231</t>
  </si>
  <si>
    <t>=L231-Q231</t>
  </si>
  <si>
    <t>=E212&amp;" Total"</t>
  </si>
  <si>
    <t>=SUBTOTAL(9,I213:I233)</t>
  </si>
  <si>
    <t>=SUBTOTAL(9,J213:J233)</t>
  </si>
  <si>
    <t>=SUBTOTAL(9,K213:K233)</t>
  </si>
  <si>
    <t>=SUBTOTAL(9,N213:N233)</t>
  </si>
  <si>
    <t>=SUBTOTAL(9,O213:O233)</t>
  </si>
  <si>
    <t>=SUM(P213:P233)</t>
  </si>
  <si>
    <t>=SUBTOTAL(9,S213:S233)</t>
  </si>
  <si>
    <t>=SUBTOTAL(9,T213:T233)</t>
  </si>
  <si>
    <t>=SUBTOTAL(9,U213:U233)</t>
  </si>
  <si>
    <t>=J256-(I256*H256)</t>
  </si>
  <si>
    <t>=IF(J256=0,0,K256/J256)</t>
  </si>
  <si>
    <t>=O256-(N256*$H256)</t>
  </si>
  <si>
    <t>=IF(O256=0,0,P256/O256)</t>
  </si>
  <si>
    <t>=I256-N256</t>
  </si>
  <si>
    <t>=J256-O256</t>
  </si>
  <si>
    <t>=K256-P256</t>
  </si>
  <si>
    <t>=L256-Q256</t>
  </si>
  <si>
    <t>=J257-(I257*H257)</t>
  </si>
  <si>
    <t>=O257-(N257*$H257)</t>
  </si>
  <si>
    <t>=I257-N257</t>
  </si>
  <si>
    <t>=J257-O257</t>
  </si>
  <si>
    <t>=K257-P257</t>
  </si>
  <si>
    <t>=C258</t>
  </si>
  <si>
    <t>=SUBTOTAL(9,I255:I258)</t>
  </si>
  <si>
    <t>=SUBTOTAL(9,J255:J258)</t>
  </si>
  <si>
    <t>=SUBTOTAL(9,K255:K258)</t>
  </si>
  <si>
    <t>=IF(J259=0,0,K259/J259)</t>
  </si>
  <si>
    <t>=SUBTOTAL(9,N255:N258)</t>
  </si>
  <si>
    <t>=SUBTOTAL(9,O255:O258)</t>
  </si>
  <si>
    <t>=SUM(P255:P258)</t>
  </si>
  <si>
    <t>=IF(O259=0,0,P259/O259)</t>
  </si>
  <si>
    <t>=SUBTOTAL(9,S255:S258)</t>
  </si>
  <si>
    <t>=SUBTOTAL(9,T255:T258)</t>
  </si>
  <si>
    <t>=SUBTOTAL(9,U255:U258)</t>
  </si>
  <si>
    <t>=L259-Q259</t>
  </si>
  <si>
    <t>=W259</t>
  </si>
  <si>
    <t>=E261</t>
  </si>
  <si>
    <t>=NL("Rows","27 Item","1 No.","5704 Product Group Code","@@"&amp;C262,"1 No.",$F$6,"78 Sales (LCY)","&lt;&gt;0")</t>
  </si>
  <si>
    <t>=E261&amp;" Total"</t>
  </si>
  <si>
    <t>=SUBTOTAL(9,I262:I265)</t>
  </si>
  <si>
    <t>=SUBTOTAL(9,J262:J265)</t>
  </si>
  <si>
    <t>=SUBTOTAL(9,K262:K265)</t>
  </si>
  <si>
    <t>=SUBTOTAL(9,N262:N265)</t>
  </si>
  <si>
    <t>=SUBTOTAL(9,O262:O265)</t>
  </si>
  <si>
    <t>=SUM(P262:P265)</t>
  </si>
  <si>
    <t>=SUBTOTAL(9,S262:S265)</t>
  </si>
  <si>
    <t>=SUBTOTAL(9,T262:T265)</t>
  </si>
  <si>
    <t>=SUBTOTAL(9,U262:U265)</t>
  </si>
  <si>
    <t>="VISOR"</t>
  </si>
  <si>
    <t>=W277</t>
  </si>
  <si>
    <t>=SUBTOTAL(9,I13:I277)</t>
  </si>
  <si>
    <t>=SUBTOTAL(9,J13:J277)</t>
  </si>
  <si>
    <t>=SUBTOTAL(9,K13:K277)</t>
  </si>
  <si>
    <t>=SUBTOTAL(9,N13:N277)</t>
  </si>
  <si>
    <t>=SUBTOTAL(9,O13:O277)</t>
  </si>
  <si>
    <t>=SUM(P13:P277)/2</t>
  </si>
  <si>
    <t>=SUBTOTAL(9,S13:S277)</t>
  </si>
  <si>
    <t>=SUBTOTAL(9,T13:T277)</t>
  </si>
  <si>
    <t>=SUBTOTAL(9,U13:U277)</t>
  </si>
  <si>
    <t>=NL("First","27 Item","3 Description","1 No.","@@"&amp;$F256)</t>
  </si>
  <si>
    <t>=NL("First","27 Item","3 Description","1 No.","@@"&amp;$F257)</t>
  </si>
  <si>
    <t>=NL("First","27 Item","22 Unit Cost","1 No.","@@"&amp;$F256)</t>
  </si>
  <si>
    <t>=NL("First","27 Item","22 Unit Cost","1 No.","@@"&amp;$F257)</t>
  </si>
  <si>
    <t>=-NL("Sum","5802 Value Entry","14 Invoiced Quantity","41 Source Type","Customer","4 Item Ledger Entry Type","Sale","2 Item No.","@@"&amp;$F256,"3 Posting Date",I$8,"58 Gen. Prod. Posting Group",$F$7)</t>
  </si>
  <si>
    <t>=-NL("Sum","5802 Value Entry","14 Invoiced Quantity","41 Source Type","Customer","4 Item Ledger Entry Type","Sale","2 Item No.","@@"&amp;$F257,"3 Posting Date",I$8,"58 Gen. Prod. Posting Group",$F$7)</t>
  </si>
  <si>
    <t>=NL("Sum","5802 Value Entry","17 Sales Amount (Actual)","41 Source Type","Customer","4 Item Ledger Entry Type","Sale","2 Item No.","@@"&amp;$F256,"3 Posting Date",I$8,"58 Gen. Prod. Posting Group",$F$7)</t>
  </si>
  <si>
    <t>=NL("Sum","5802 Value Entry","17 Sales Amount (Actual)","41 Source Type","Customer","4 Item Ledger Entry Type","Sale","2 Item No.","@@"&amp;$F257,"3 Posting Date",I$8,"58 Gen. Prod. Posting Group",$F$7)</t>
  </si>
  <si>
    <t>=-NL("Sum","5802 Value Entry","14 Invoiced Quantity","41 Source Type","Customer","4 Item Ledger Entry Type","Sale","2 Item No.","@@"&amp;$F256,"3 Posting Date",N$8,"58 Gen. Prod. Posting Group",$F$7)</t>
  </si>
  <si>
    <t>=-NL("Sum","5802 Value Entry","14 Invoiced Quantity","41 Source Type","Customer","4 Item Ledger Entry Type","Sale","2 Item No.","@@"&amp;$F257,"3 Posting Date",N$8,"58 Gen. Prod. Posting Group",$F$7)</t>
  </si>
  <si>
    <t>=NL("Sum","5802 Value Entry","17 Sales Amount (Actual)","41 Source Type","Customer","4 Item Ledger Entry Type","Sale","2 Item No.","@@"&amp;$F256,"3 Posting Date",N$8,"58 Gen. Prod. Posting Group",$F$7)</t>
  </si>
  <si>
    <t>=NL("Sum","5802 Value Entry","17 Sales Amount (Actual)","41 Source Type","Customer","4 Item Ledger Entry Type","Sale","2 Item No.","@@"&amp;$F257,"3 Posting Date",N$8,"58 Gen. Prod. Posting Group",$F$7)</t>
  </si>
  <si>
    <t>=NL("First","27 Item","3 Description","1 No.","@@"&amp;$F219)</t>
  </si>
  <si>
    <t>=NL("First","27 Item","3 Description","1 No.","@@"&amp;$F220)</t>
  </si>
  <si>
    <t>=NL("First","27 Item","3 Description","1 No.","@@"&amp;$F222)</t>
  </si>
  <si>
    <t>=NL("First","27 Item","3 Description","1 No.","@@"&amp;$F231)</t>
  </si>
  <si>
    <t>=NL("First","27 Item","22 Unit Cost","1 No.","@@"&amp;$F219)</t>
  </si>
  <si>
    <t>=NL("First","27 Item","22 Unit Cost","1 No.","@@"&amp;$F220)</t>
  </si>
  <si>
    <t>=NL("First","27 Item","22 Unit Cost","1 No.","@@"&amp;$F222)</t>
  </si>
  <si>
    <t>=NL("First","27 Item","22 Unit Cost","1 No.","@@"&amp;$F231)</t>
  </si>
  <si>
    <t>=-NL("Sum","5802 Value Entry","14 Invoiced Quantity","41 Source Type","Customer","4 Item Ledger Entry Type","Sale","2 Item No.","@@"&amp;$F219,"3 Posting Date",I$8,"58 Gen. Prod. Posting Group",$F$7)</t>
  </si>
  <si>
    <t>=-NL("Sum","5802 Value Entry","14 Invoiced Quantity","41 Source Type","Customer","4 Item Ledger Entry Type","Sale","2 Item No.","@@"&amp;$F220,"3 Posting Date",I$8,"58 Gen. Prod. Posting Group",$F$7)</t>
  </si>
  <si>
    <t>=-NL("Sum","5802 Value Entry","14 Invoiced Quantity","41 Source Type","Customer","4 Item Ledger Entry Type","Sale","2 Item No.","@@"&amp;$F222,"3 Posting Date",I$8,"58 Gen. Prod. Posting Group",$F$7)</t>
  </si>
  <si>
    <t>=-NL("Sum","5802 Value Entry","14 Invoiced Quantity","41 Source Type","Customer","4 Item Ledger Entry Type","Sale","2 Item No.","@@"&amp;$F231,"3 Posting Date",I$8,"58 Gen. Prod. Posting Group",$F$7)</t>
  </si>
  <si>
    <t>=NL("Sum","5802 Value Entry","17 Sales Amount (Actual)","41 Source Type","Customer","4 Item Ledger Entry Type","Sale","2 Item No.","@@"&amp;$F219,"3 Posting Date",I$8,"58 Gen. Prod. Posting Group",$F$7)</t>
  </si>
  <si>
    <t>=NL("Sum","5802 Value Entry","17 Sales Amount (Actual)","41 Source Type","Customer","4 Item Ledger Entry Type","Sale","2 Item No.","@@"&amp;$F220,"3 Posting Date",I$8,"58 Gen. Prod. Posting Group",$F$7)</t>
  </si>
  <si>
    <t>=NL("Sum","5802 Value Entry","17 Sales Amount (Actual)","41 Source Type","Customer","4 Item Ledger Entry Type","Sale","2 Item No.","@@"&amp;$F222,"3 Posting Date",I$8,"58 Gen. Prod. Posting Group",$F$7)</t>
  </si>
  <si>
    <t>=NL("Sum","5802 Value Entry","17 Sales Amount (Actual)","41 Source Type","Customer","4 Item Ledger Entry Type","Sale","2 Item No.","@@"&amp;$F231,"3 Posting Date",I$8,"58 Gen. Prod. Posting Group",$F$7)</t>
  </si>
  <si>
    <t>=-NL("Sum","5802 Value Entry","14 Invoiced Quantity","41 Source Type","Customer","4 Item Ledger Entry Type","Sale","2 Item No.","@@"&amp;$F219,"3 Posting Date",N$8,"58 Gen. Prod. Posting Group",$F$7)</t>
  </si>
  <si>
    <t>=-NL("Sum","5802 Value Entry","14 Invoiced Quantity","41 Source Type","Customer","4 Item Ledger Entry Type","Sale","2 Item No.","@@"&amp;$F220,"3 Posting Date",N$8,"58 Gen. Prod. Posting Group",$F$7)</t>
  </si>
  <si>
    <t>=-NL("Sum","5802 Value Entry","14 Invoiced Quantity","41 Source Type","Customer","4 Item Ledger Entry Type","Sale","2 Item No.","@@"&amp;$F222,"3 Posting Date",N$8,"58 Gen. Prod. Posting Group",$F$7)</t>
  </si>
  <si>
    <t>=-NL("Sum","5802 Value Entry","14 Invoiced Quantity","41 Source Type","Customer","4 Item Ledger Entry Type","Sale","2 Item No.","@@"&amp;$F231,"3 Posting Date",N$8,"58 Gen. Prod. Posting Group",$F$7)</t>
  </si>
  <si>
    <t>=NL("Sum","5802 Value Entry","17 Sales Amount (Actual)","41 Source Type","Customer","4 Item Ledger Entry Type","Sale","2 Item No.","@@"&amp;$F219,"3 Posting Date",N$8,"58 Gen. Prod. Posting Group",$F$7)</t>
  </si>
  <si>
    <t>=NL("Sum","5802 Value Entry","17 Sales Amount (Actual)","41 Source Type","Customer","4 Item Ledger Entry Type","Sale","2 Item No.","@@"&amp;$F220,"3 Posting Date",N$8,"58 Gen. Prod. Posting Group",$F$7)</t>
  </si>
  <si>
    <t>=NL("Sum","5802 Value Entry","17 Sales Amount (Actual)","41 Source Type","Customer","4 Item Ledger Entry Type","Sale","2 Item No.","@@"&amp;$F222,"3 Posting Date",N$8,"58 Gen. Prod. Posting Group",$F$7)</t>
  </si>
  <si>
    <t>=NL("Sum","5802 Value Entry","17 Sales Amount (Actual)","41 Source Type","Customer","4 Item Ledger Entry Type","Sale","2 Item No.","@@"&amp;$F231,"3 Posting Date",N$8,"58 Gen. Prod. Posting Group",$F$7)</t>
  </si>
  <si>
    <t>=NL("First","27 Item","3 Description","1 No.","@@"&amp;$F196)</t>
  </si>
  <si>
    <t>=NL("First","27 Item","3 Description","1 No.","@@"&amp;$F197)</t>
  </si>
  <si>
    <t>=NL("First","27 Item","3 Description","1 No.","@@"&amp;$F199)</t>
  </si>
  <si>
    <t>=NL("First","27 Item","22 Unit Cost","1 No.","@@"&amp;$F196)</t>
  </si>
  <si>
    <t>=NL("First","27 Item","22 Unit Cost","1 No.","@@"&amp;$F197)</t>
  </si>
  <si>
    <t>=NL("First","27 Item","22 Unit Cost","1 No.","@@"&amp;$F199)</t>
  </si>
  <si>
    <t>=-NL("Sum","5802 Value Entry","14 Invoiced Quantity","41 Source Type","Customer","4 Item Ledger Entry Type","Sale","2 Item No.","@@"&amp;$F196,"3 Posting Date",I$8,"58 Gen. Prod. Posting Group",$F$7)</t>
  </si>
  <si>
    <t>=-NL("Sum","5802 Value Entry","14 Invoiced Quantity","41 Source Type","Customer","4 Item Ledger Entry Type","Sale","2 Item No.","@@"&amp;$F197,"3 Posting Date",I$8,"58 Gen. Prod. Posting Group",$F$7)</t>
  </si>
  <si>
    <t>=-NL("Sum","5802 Value Entry","14 Invoiced Quantity","41 Source Type","Customer","4 Item Ledger Entry Type","Sale","2 Item No.","@@"&amp;$F199,"3 Posting Date",I$8,"58 Gen. Prod. Posting Group",$F$7)</t>
  </si>
  <si>
    <t>=NL("Sum","5802 Value Entry","17 Sales Amount (Actual)","41 Source Type","Customer","4 Item Ledger Entry Type","Sale","2 Item No.","@@"&amp;$F196,"3 Posting Date",I$8,"58 Gen. Prod. Posting Group",$F$7)</t>
  </si>
  <si>
    <t>=NL("Sum","5802 Value Entry","17 Sales Amount (Actual)","41 Source Type","Customer","4 Item Ledger Entry Type","Sale","2 Item No.","@@"&amp;$F197,"3 Posting Date",I$8,"58 Gen. Prod. Posting Group",$F$7)</t>
  </si>
  <si>
    <t>=NL("Sum","5802 Value Entry","17 Sales Amount (Actual)","41 Source Type","Customer","4 Item Ledger Entry Type","Sale","2 Item No.","@@"&amp;$F199,"3 Posting Date",I$8,"58 Gen. Prod. Posting Group",$F$7)</t>
  </si>
  <si>
    <t>=-NL("Sum","5802 Value Entry","14 Invoiced Quantity","41 Source Type","Customer","4 Item Ledger Entry Type","Sale","2 Item No.","@@"&amp;$F196,"3 Posting Date",N$8,"58 Gen. Prod. Posting Group",$F$7)</t>
  </si>
  <si>
    <t>=-NL("Sum","5802 Value Entry","14 Invoiced Quantity","41 Source Type","Customer","4 Item Ledger Entry Type","Sale","2 Item No.","@@"&amp;$F197,"3 Posting Date",N$8,"58 Gen. Prod. Posting Group",$F$7)</t>
  </si>
  <si>
    <t>=-NL("Sum","5802 Value Entry","14 Invoiced Quantity","41 Source Type","Customer","4 Item Ledger Entry Type","Sale","2 Item No.","@@"&amp;$F199,"3 Posting Date",N$8,"58 Gen. Prod. Posting Group",$F$7)</t>
  </si>
  <si>
    <t>=NL("Sum","5802 Value Entry","17 Sales Amount (Actual)","41 Source Type","Customer","4 Item Ledger Entry Type","Sale","2 Item No.","@@"&amp;$F196,"3 Posting Date",N$8,"58 Gen. Prod. Posting Group",$F$7)</t>
  </si>
  <si>
    <t>=NL("Sum","5802 Value Entry","17 Sales Amount (Actual)","41 Source Type","Customer","4 Item Ledger Entry Type","Sale","2 Item No.","@@"&amp;$F197,"3 Posting Date",N$8,"58 Gen. Prod. Posting Group",$F$7)</t>
  </si>
  <si>
    <t>=NL("Sum","5802 Value Entry","17 Sales Amount (Actual)","41 Source Type","Customer","4 Item Ledger Entry Type","Sale","2 Item No.","@@"&amp;$F199,"3 Posting Date",N$8,"58 Gen. Prod. Posting Group",$F$7)</t>
  </si>
  <si>
    <t>=NL("First","27 Item","3 Description","1 No.","@@"&amp;$F187)</t>
  </si>
  <si>
    <t>=NL("First","27 Item","3 Description","1 No.","@@"&amp;$F188)</t>
  </si>
  <si>
    <t>=NL("First","27 Item","22 Unit Cost","1 No.","@@"&amp;$F187)</t>
  </si>
  <si>
    <t>=NL("First","27 Item","22 Unit Cost","1 No.","@@"&amp;$F188)</t>
  </si>
  <si>
    <t>=-NL("Sum","5802 Value Entry","14 Invoiced Quantity","41 Source Type","Customer","4 Item Ledger Entry Type","Sale","2 Item No.","@@"&amp;$F187,"3 Posting Date",I$8,"58 Gen. Prod. Posting Group",$F$7)</t>
  </si>
  <si>
    <t>=-NL("Sum","5802 Value Entry","14 Invoiced Quantity","41 Source Type","Customer","4 Item Ledger Entry Type","Sale","2 Item No.","@@"&amp;$F188,"3 Posting Date",I$8,"58 Gen. Prod. Posting Group",$F$7)</t>
  </si>
  <si>
    <t>=NL("Sum","5802 Value Entry","17 Sales Amount (Actual)","41 Source Type","Customer","4 Item Ledger Entry Type","Sale","2 Item No.","@@"&amp;$F187,"3 Posting Date",I$8,"58 Gen. Prod. Posting Group",$F$7)</t>
  </si>
  <si>
    <t>=NL("Sum","5802 Value Entry","17 Sales Amount (Actual)","41 Source Type","Customer","4 Item Ledger Entry Type","Sale","2 Item No.","@@"&amp;$F188,"3 Posting Date",I$8,"58 Gen. Prod. Posting Group",$F$7)</t>
  </si>
  <si>
    <t>=-NL("Sum","5802 Value Entry","14 Invoiced Quantity","41 Source Type","Customer","4 Item Ledger Entry Type","Sale","2 Item No.","@@"&amp;$F187,"3 Posting Date",N$8,"58 Gen. Prod. Posting Group",$F$7)</t>
  </si>
  <si>
    <t>=-NL("Sum","5802 Value Entry","14 Invoiced Quantity","41 Source Type","Customer","4 Item Ledger Entry Type","Sale","2 Item No.","@@"&amp;$F188,"3 Posting Date",N$8,"58 Gen. Prod. Posting Group",$F$7)</t>
  </si>
  <si>
    <t>=NL("Sum","5802 Value Entry","17 Sales Amount (Actual)","41 Source Type","Customer","4 Item Ledger Entry Type","Sale","2 Item No.","@@"&amp;$F187,"3 Posting Date",N$8,"58 Gen. Prod. Posting Group",$F$7)</t>
  </si>
  <si>
    <t>=NL("Sum","5802 Value Entry","17 Sales Amount (Actual)","41 Source Type","Customer","4 Item Ledger Entry Type","Sale","2 Item No.","@@"&amp;$F188,"3 Posting Date",N$8,"58 Gen. Prod. Posting Group",$F$7)</t>
  </si>
  <si>
    <t>=NL("First","27 Item","3 Description","1 No.","@@"&amp;$F162)</t>
  </si>
  <si>
    <t>=NL("First","27 Item","3 Description","1 No.","@@"&amp;$F163)</t>
  </si>
  <si>
    <t>=NL("First","27 Item","22 Unit Cost","1 No.","@@"&amp;$F162)</t>
  </si>
  <si>
    <t>=NL("First","27 Item","22 Unit Cost","1 No.","@@"&amp;$F163)</t>
  </si>
  <si>
    <t>=-NL("Sum","5802 Value Entry","14 Invoiced Quantity","41 Source Type","Customer","4 Item Ledger Entry Type","Sale","2 Item No.","@@"&amp;$F162,"3 Posting Date",I$8,"58 Gen. Prod. Posting Group",$F$7)</t>
  </si>
  <si>
    <t>=-NL("Sum","5802 Value Entry","14 Invoiced Quantity","41 Source Type","Customer","4 Item Ledger Entry Type","Sale","2 Item No.","@@"&amp;$F163,"3 Posting Date",I$8,"58 Gen. Prod. Posting Group",$F$7)</t>
  </si>
  <si>
    <t>=NL("Sum","5802 Value Entry","17 Sales Amount (Actual)","41 Source Type","Customer","4 Item Ledger Entry Type","Sale","2 Item No.","@@"&amp;$F162,"3 Posting Date",I$8,"58 Gen. Prod. Posting Group",$F$7)</t>
  </si>
  <si>
    <t>=NL("Sum","5802 Value Entry","17 Sales Amount (Actual)","41 Source Type","Customer","4 Item Ledger Entry Type","Sale","2 Item No.","@@"&amp;$F163,"3 Posting Date",I$8,"58 Gen. Prod. Posting Group",$F$7)</t>
  </si>
  <si>
    <t>=-NL("Sum","5802 Value Entry","14 Invoiced Quantity","41 Source Type","Customer","4 Item Ledger Entry Type","Sale","2 Item No.","@@"&amp;$F162,"3 Posting Date",N$8,"58 Gen. Prod. Posting Group",$F$7)</t>
  </si>
  <si>
    <t>=-NL("Sum","5802 Value Entry","14 Invoiced Quantity","41 Source Type","Customer","4 Item Ledger Entry Type","Sale","2 Item No.","@@"&amp;$F163,"3 Posting Date",N$8,"58 Gen. Prod. Posting Group",$F$7)</t>
  </si>
  <si>
    <t>=NL("Sum","5802 Value Entry","17 Sales Amount (Actual)","41 Source Type","Customer","4 Item Ledger Entry Type","Sale","2 Item No.","@@"&amp;$F162,"3 Posting Date",N$8,"58 Gen. Prod. Posting Group",$F$7)</t>
  </si>
  <si>
    <t>=NL("Sum","5802 Value Entry","17 Sales Amount (Actual)","41 Source Type","Customer","4 Item Ledger Entry Type","Sale","2 Item No.","@@"&amp;$F163,"3 Posting Date",N$8,"58 Gen. Prod. Posting Group",$F$7)</t>
  </si>
  <si>
    <t>=NL("First","27 Item","3 Description","1 No.","@@"&amp;$F155)</t>
  </si>
  <si>
    <t>=NL("First","27 Item","22 Unit Cost","1 No.","@@"&amp;$F155)</t>
  </si>
  <si>
    <t>=-NL("Sum","5802 Value Entry","14 Invoiced Quantity","41 Source Type","Customer","4 Item Ledger Entry Type","Sale","2 Item No.","@@"&amp;$F155,"3 Posting Date",I$8,"58 Gen. Prod. Posting Group",$F$7)</t>
  </si>
  <si>
    <t>=NL("Sum","5802 Value Entry","17 Sales Amount (Actual)","41 Source Type","Customer","4 Item Ledger Entry Type","Sale","2 Item No.","@@"&amp;$F155,"3 Posting Date",I$8,"58 Gen. Prod. Posting Group",$F$7)</t>
  </si>
  <si>
    <t>=-NL("Sum","5802 Value Entry","14 Invoiced Quantity","41 Source Type","Customer","4 Item Ledger Entry Type","Sale","2 Item No.","@@"&amp;$F155,"3 Posting Date",N$8,"58 Gen. Prod. Posting Group",$F$7)</t>
  </si>
  <si>
    <t>=NL("Sum","5802 Value Entry","17 Sales Amount (Actual)","41 Source Type","Customer","4 Item Ledger Entry Type","Sale","2 Item No.","@@"&amp;$F155,"3 Posting Date",N$8,"58 Gen. Prod. Posting Group",$F$7)</t>
  </si>
  <si>
    <t>=NL("First","27 Item","3 Description","1 No.","@@"&amp;$F146)</t>
  </si>
  <si>
    <t>=NL("First","27 Item","22 Unit Cost","1 No.","@@"&amp;$F146)</t>
  </si>
  <si>
    <t>=-NL("Sum","5802 Value Entry","14 Invoiced Quantity","41 Source Type","Customer","4 Item Ledger Entry Type","Sale","2 Item No.","@@"&amp;$F146,"3 Posting Date",I$8,"58 Gen. Prod. Posting Group",$F$7)</t>
  </si>
  <si>
    <t>=NL("Sum","5802 Value Entry","17 Sales Amount (Actual)","41 Source Type","Customer","4 Item Ledger Entry Type","Sale","2 Item No.","@@"&amp;$F146,"3 Posting Date",I$8,"58 Gen. Prod. Posting Group",$F$7)</t>
  </si>
  <si>
    <t>=-NL("Sum","5802 Value Entry","14 Invoiced Quantity","41 Source Type","Customer","4 Item Ledger Entry Type","Sale","2 Item No.","@@"&amp;$F146,"3 Posting Date",N$8,"58 Gen. Prod. Posting Group",$F$7)</t>
  </si>
  <si>
    <t>=NL("Sum","5802 Value Entry","17 Sales Amount (Actual)","41 Source Type","Customer","4 Item Ledger Entry Type","Sale","2 Item No.","@@"&amp;$F146,"3 Posting Date",N$8,"58 Gen. Prod. Posting Group",$F$7)</t>
  </si>
  <si>
    <t>=NL("First","27 Item","3 Description","1 No.","@@"&amp;$F137)</t>
  </si>
  <si>
    <t>=NL("First","27 Item","22 Unit Cost","1 No.","@@"&amp;$F137)</t>
  </si>
  <si>
    <t>=-NL("Sum","5802 Value Entry","14 Invoiced Quantity","41 Source Type","Customer","4 Item Ledger Entry Type","Sale","2 Item No.","@@"&amp;$F137,"3 Posting Date",I$8,"58 Gen. Prod. Posting Group",$F$7)</t>
  </si>
  <si>
    <t>=NL("Sum","5802 Value Entry","17 Sales Amount (Actual)","41 Source Type","Customer","4 Item Ledger Entry Type","Sale","2 Item No.","@@"&amp;$F137,"3 Posting Date",I$8,"58 Gen. Prod. Posting Group",$F$7)</t>
  </si>
  <si>
    <t>=-NL("Sum","5802 Value Entry","14 Invoiced Quantity","41 Source Type","Customer","4 Item Ledger Entry Type","Sale","2 Item No.","@@"&amp;$F137,"3 Posting Date",N$8,"58 Gen. Prod. Posting Group",$F$7)</t>
  </si>
  <si>
    <t>=NL("Sum","5802 Value Entry","17 Sales Amount (Actual)","41 Source Type","Customer","4 Item Ledger Entry Type","Sale","2 Item No.","@@"&amp;$F137,"3 Posting Date",N$8,"58 Gen. Prod. Posting Group",$F$7)</t>
  </si>
  <si>
    <t>=NL("First","27 Item","3 Description","1 No.","@@"&amp;$F126)</t>
  </si>
  <si>
    <t>=NL("First","27 Item","3 Description","1 No.","@@"&amp;$F128)</t>
  </si>
  <si>
    <t>=NL("First","27 Item","22 Unit Cost","1 No.","@@"&amp;$F126)</t>
  </si>
  <si>
    <t>=NL("First","27 Item","22 Unit Cost","1 No.","@@"&amp;$F128)</t>
  </si>
  <si>
    <t>=-NL("Sum","5802 Value Entry","14 Invoiced Quantity","41 Source Type","Customer","4 Item Ledger Entry Type","Sale","2 Item No.","@@"&amp;$F126,"3 Posting Date",I$8,"58 Gen. Prod. Posting Group",$F$7)</t>
  </si>
  <si>
    <t>=-NL("Sum","5802 Value Entry","14 Invoiced Quantity","41 Source Type","Customer","4 Item Ledger Entry Type","Sale","2 Item No.","@@"&amp;$F128,"3 Posting Date",I$8,"58 Gen. Prod. Posting Group",$F$7)</t>
  </si>
  <si>
    <t>=NL("Sum","5802 Value Entry","17 Sales Amount (Actual)","41 Source Type","Customer","4 Item Ledger Entry Type","Sale","2 Item No.","@@"&amp;$F126,"3 Posting Date",I$8,"58 Gen. Prod. Posting Group",$F$7)</t>
  </si>
  <si>
    <t>=NL("Sum","5802 Value Entry","17 Sales Amount (Actual)","41 Source Type","Customer","4 Item Ledger Entry Type","Sale","2 Item No.","@@"&amp;$F128,"3 Posting Date",I$8,"58 Gen. Prod. Posting Group",$F$7)</t>
  </si>
  <si>
    <t>=-NL("Sum","5802 Value Entry","14 Invoiced Quantity","41 Source Type","Customer","4 Item Ledger Entry Type","Sale","2 Item No.","@@"&amp;$F126,"3 Posting Date",N$8,"58 Gen. Prod. Posting Group",$F$7)</t>
  </si>
  <si>
    <t>=-NL("Sum","5802 Value Entry","14 Invoiced Quantity","41 Source Type","Customer","4 Item Ledger Entry Type","Sale","2 Item No.","@@"&amp;$F128,"3 Posting Date",N$8,"58 Gen. Prod. Posting Group",$F$7)</t>
  </si>
  <si>
    <t>=NL("Sum","5802 Value Entry","17 Sales Amount (Actual)","41 Source Type","Customer","4 Item Ledger Entry Type","Sale","2 Item No.","@@"&amp;$F126,"3 Posting Date",N$8,"58 Gen. Prod. Posting Group",$F$7)</t>
  </si>
  <si>
    <t>=NL("Sum","5802 Value Entry","17 Sales Amount (Actual)","41 Source Type","Customer","4 Item Ledger Entry Type","Sale","2 Item No.","@@"&amp;$F128,"3 Posting Date",N$8,"58 Gen. Prod. Posting Group",$F$7)</t>
  </si>
  <si>
    <t>=NL("First","27 Item","3 Description","1 No.","@@"&amp;$F117)</t>
  </si>
  <si>
    <t>=NL("First","27 Item","22 Unit Cost","1 No.","@@"&amp;$F117)</t>
  </si>
  <si>
    <t>=-NL("Sum","5802 Value Entry","14 Invoiced Quantity","41 Source Type","Customer","4 Item Ledger Entry Type","Sale","2 Item No.","@@"&amp;$F117,"3 Posting Date",I$8,"58 Gen. Prod. Posting Group",$F$7)</t>
  </si>
  <si>
    <t>=NL("Sum","5802 Value Entry","17 Sales Amount (Actual)","41 Source Type","Customer","4 Item Ledger Entry Type","Sale","2 Item No.","@@"&amp;$F117,"3 Posting Date",I$8,"58 Gen. Prod. Posting Group",$F$7)</t>
  </si>
  <si>
    <t>=-NL("Sum","5802 Value Entry","14 Invoiced Quantity","41 Source Type","Customer","4 Item Ledger Entry Type","Sale","2 Item No.","@@"&amp;$F117,"3 Posting Date",N$8,"58 Gen. Prod. Posting Group",$F$7)</t>
  </si>
  <si>
    <t>=NL("Sum","5802 Value Entry","17 Sales Amount (Actual)","41 Source Type","Customer","4 Item Ledger Entry Type","Sale","2 Item No.","@@"&amp;$F117,"3 Posting Date",N$8,"58 Gen. Prod. Posting Group",$F$7)</t>
  </si>
  <si>
    <t>=NL("First","27 Item","3 Description","1 No.","@@"&amp;$F109)</t>
  </si>
  <si>
    <t>=NL("First","27 Item","3 Description","1 No.","@@"&amp;$F110)</t>
  </si>
  <si>
    <t>=NL("First","27 Item","22 Unit Cost","1 No.","@@"&amp;$F109)</t>
  </si>
  <si>
    <t>=NL("First","27 Item","22 Unit Cost","1 No.","@@"&amp;$F110)</t>
  </si>
  <si>
    <t>=-NL("Sum","5802 Value Entry","14 Invoiced Quantity","41 Source Type","Customer","4 Item Ledger Entry Type","Sale","2 Item No.","@@"&amp;$F109,"3 Posting Date",I$8,"58 Gen. Prod. Posting Group",$F$7)</t>
  </si>
  <si>
    <t>=-NL("Sum","5802 Value Entry","14 Invoiced Quantity","41 Source Type","Customer","4 Item Ledger Entry Type","Sale","2 Item No.","@@"&amp;$F110,"3 Posting Date",I$8,"58 Gen. Prod. Posting Group",$F$7)</t>
  </si>
  <si>
    <t>=NL("Sum","5802 Value Entry","17 Sales Amount (Actual)","41 Source Type","Customer","4 Item Ledger Entry Type","Sale","2 Item No.","@@"&amp;$F109,"3 Posting Date",I$8,"58 Gen. Prod. Posting Group",$F$7)</t>
  </si>
  <si>
    <t>=NL("Sum","5802 Value Entry","17 Sales Amount (Actual)","41 Source Type","Customer","4 Item Ledger Entry Type","Sale","2 Item No.","@@"&amp;$F110,"3 Posting Date",I$8,"58 Gen. Prod. Posting Group",$F$7)</t>
  </si>
  <si>
    <t>=-NL("Sum","5802 Value Entry","14 Invoiced Quantity","41 Source Type","Customer","4 Item Ledger Entry Type","Sale","2 Item No.","@@"&amp;$F109,"3 Posting Date",N$8,"58 Gen. Prod. Posting Group",$F$7)</t>
  </si>
  <si>
    <t>=-NL("Sum","5802 Value Entry","14 Invoiced Quantity","41 Source Type","Customer","4 Item Ledger Entry Type","Sale","2 Item No.","@@"&amp;$F110,"3 Posting Date",N$8,"58 Gen. Prod. Posting Group",$F$7)</t>
  </si>
  <si>
    <t>=NL("Sum","5802 Value Entry","17 Sales Amount (Actual)","41 Source Type","Customer","4 Item Ledger Entry Type","Sale","2 Item No.","@@"&amp;$F109,"3 Posting Date",N$8,"58 Gen. Prod. Posting Group",$F$7)</t>
  </si>
  <si>
    <t>=NL("Sum","5802 Value Entry","17 Sales Amount (Actual)","41 Source Type","Customer","4 Item Ledger Entry Type","Sale","2 Item No.","@@"&amp;$F110,"3 Posting Date",N$8,"58 Gen. Prod. Posting Group",$F$7)</t>
  </si>
  <si>
    <t>=NL("First","27 Item","3 Description","1 No.","@@"&amp;$F85)</t>
  </si>
  <si>
    <t>=NL("First","27 Item","3 Description","1 No.","@@"&amp;$F86)</t>
  </si>
  <si>
    <t>=NL("First","27 Item","3 Description","1 No.","@@"&amp;$F94)</t>
  </si>
  <si>
    <t>=NL("First","27 Item","3 Description","1 No.","@@"&amp;$F95)</t>
  </si>
  <si>
    <t>=NL("First","27 Item","3 Description","1 No.","@@"&amp;$F101)</t>
  </si>
  <si>
    <t>=NL("First","27 Item","22 Unit Cost","1 No.","@@"&amp;$F85)</t>
  </si>
  <si>
    <t>=NL("First","27 Item","22 Unit Cost","1 No.","@@"&amp;$F86)</t>
  </si>
  <si>
    <t>=NL("First","27 Item","22 Unit Cost","1 No.","@@"&amp;$F94)</t>
  </si>
  <si>
    <t>=NL("First","27 Item","22 Unit Cost","1 No.","@@"&amp;$F95)</t>
  </si>
  <si>
    <t>=NL("First","27 Item","22 Unit Cost","1 No.","@@"&amp;$F101)</t>
  </si>
  <si>
    <t>=-NL("Sum","5802 Value Entry","14 Invoiced Quantity","41 Source Type","Customer","4 Item Ledger Entry Type","Sale","2 Item No.","@@"&amp;$F85,"3 Posting Date",I$8,"58 Gen. Prod. Posting Group",$F$7)</t>
  </si>
  <si>
    <t>=-NL("Sum","5802 Value Entry","14 Invoiced Quantity","41 Source Type","Customer","4 Item Ledger Entry Type","Sale","2 Item No.","@@"&amp;$F86,"3 Posting Date",I$8,"58 Gen. Prod. Posting Group",$F$7)</t>
  </si>
  <si>
    <t>=-NL("Sum","5802 Value Entry","14 Invoiced Quantity","41 Source Type","Customer","4 Item Ledger Entry Type","Sale","2 Item No.","@@"&amp;$F94,"3 Posting Date",I$8,"58 Gen. Prod. Posting Group",$F$7)</t>
  </si>
  <si>
    <t>=-NL("Sum","5802 Value Entry","14 Invoiced Quantity","41 Source Type","Customer","4 Item Ledger Entry Type","Sale","2 Item No.","@@"&amp;$F95,"3 Posting Date",I$8,"58 Gen. Prod. Posting Group",$F$7)</t>
  </si>
  <si>
    <t>=-NL("Sum","5802 Value Entry","14 Invoiced Quantity","41 Source Type","Customer","4 Item Ledger Entry Type","Sale","2 Item No.","@@"&amp;$F101,"3 Posting Date",I$8,"58 Gen. Prod. Posting Group",$F$7)</t>
  </si>
  <si>
    <t>=NL("Sum","5802 Value Entry","17 Sales Amount (Actual)","41 Source Type","Customer","4 Item Ledger Entry Type","Sale","2 Item No.","@@"&amp;$F85,"3 Posting Date",I$8,"58 Gen. Prod. Posting Group",$F$7)</t>
  </si>
  <si>
    <t>=NL("Sum","5802 Value Entry","17 Sales Amount (Actual)","41 Source Type","Customer","4 Item Ledger Entry Type","Sale","2 Item No.","@@"&amp;$F86,"3 Posting Date",I$8,"58 Gen. Prod. Posting Group",$F$7)</t>
  </si>
  <si>
    <t>=NL("Sum","5802 Value Entry","17 Sales Amount (Actual)","41 Source Type","Customer","4 Item Ledger Entry Type","Sale","2 Item No.","@@"&amp;$F94,"3 Posting Date",I$8,"58 Gen. Prod. Posting Group",$F$7)</t>
  </si>
  <si>
    <t>=NL("Sum","5802 Value Entry","17 Sales Amount (Actual)","41 Source Type","Customer","4 Item Ledger Entry Type","Sale","2 Item No.","@@"&amp;$F95,"3 Posting Date",I$8,"58 Gen. Prod. Posting Group",$F$7)</t>
  </si>
  <si>
    <t>=NL("Sum","5802 Value Entry","17 Sales Amount (Actual)","41 Source Type","Customer","4 Item Ledger Entry Type","Sale","2 Item No.","@@"&amp;$F101,"3 Posting Date",I$8,"58 Gen. Prod. Posting Group",$F$7)</t>
  </si>
  <si>
    <t>=-NL("Sum","5802 Value Entry","14 Invoiced Quantity","41 Source Type","Customer","4 Item Ledger Entry Type","Sale","2 Item No.","@@"&amp;$F85,"3 Posting Date",N$8,"58 Gen. Prod. Posting Group",$F$7)</t>
  </si>
  <si>
    <t>=-NL("Sum","5802 Value Entry","14 Invoiced Quantity","41 Source Type","Customer","4 Item Ledger Entry Type","Sale","2 Item No.","@@"&amp;$F86,"3 Posting Date",N$8,"58 Gen. Prod. Posting Group",$F$7)</t>
  </si>
  <si>
    <t>=-NL("Sum","5802 Value Entry","14 Invoiced Quantity","41 Source Type","Customer","4 Item Ledger Entry Type","Sale","2 Item No.","@@"&amp;$F94,"3 Posting Date",N$8,"58 Gen. Prod. Posting Group",$F$7)</t>
  </si>
  <si>
    <t>=-NL("Sum","5802 Value Entry","14 Invoiced Quantity","41 Source Type","Customer","4 Item Ledger Entry Type","Sale","2 Item No.","@@"&amp;$F95,"3 Posting Date",N$8,"58 Gen. Prod. Posting Group",$F$7)</t>
  </si>
  <si>
    <t>=-NL("Sum","5802 Value Entry","14 Invoiced Quantity","41 Source Type","Customer","4 Item Ledger Entry Type","Sale","2 Item No.","@@"&amp;$F101,"3 Posting Date",N$8,"58 Gen. Prod. Posting Group",$F$7)</t>
  </si>
  <si>
    <t>=NL("Sum","5802 Value Entry","17 Sales Amount (Actual)","41 Source Type","Customer","4 Item Ledger Entry Type","Sale","2 Item No.","@@"&amp;$F85,"3 Posting Date",N$8,"58 Gen. Prod. Posting Group",$F$7)</t>
  </si>
  <si>
    <t>=NL("Sum","5802 Value Entry","17 Sales Amount (Actual)","41 Source Type","Customer","4 Item Ledger Entry Type","Sale","2 Item No.","@@"&amp;$F86,"3 Posting Date",N$8,"58 Gen. Prod. Posting Group",$F$7)</t>
  </si>
  <si>
    <t>=NL("Sum","5802 Value Entry","17 Sales Amount (Actual)","41 Source Type","Customer","4 Item Ledger Entry Type","Sale","2 Item No.","@@"&amp;$F94,"3 Posting Date",N$8,"58 Gen. Prod. Posting Group",$F$7)</t>
  </si>
  <si>
    <t>=NL("Sum","5802 Value Entry","17 Sales Amount (Actual)","41 Source Type","Customer","4 Item Ledger Entry Type","Sale","2 Item No.","@@"&amp;$F95,"3 Posting Date",N$8,"58 Gen. Prod. Posting Group",$F$7)</t>
  </si>
  <si>
    <t>=NL("Sum","5802 Value Entry","17 Sales Amount (Actual)","41 Source Type","Customer","4 Item Ledger Entry Type","Sale","2 Item No.","@@"&amp;$F101,"3 Posting Date",N$8,"58 Gen. Prod. Posting Group",$F$7)</t>
  </si>
  <si>
    <t>=NL("First","27 Item","3 Description","1 No.","@@"&amp;$F77)</t>
  </si>
  <si>
    <t>=NL("First","27 Item","22 Unit Cost","1 No.","@@"&amp;$F77)</t>
  </si>
  <si>
    <t>=-NL("Sum","5802 Value Entry","14 Invoiced Quantity","41 Source Type","Customer","4 Item Ledger Entry Type","Sale","2 Item No.","@@"&amp;$F77,"3 Posting Date",I$8,"58 Gen. Prod. Posting Group",$F$7)</t>
  </si>
  <si>
    <t>=NL("Sum","5802 Value Entry","17 Sales Amount (Actual)","41 Source Type","Customer","4 Item Ledger Entry Type","Sale","2 Item No.","@@"&amp;$F77,"3 Posting Date",I$8,"58 Gen. Prod. Posting Group",$F$7)</t>
  </si>
  <si>
    <t>=-NL("Sum","5802 Value Entry","14 Invoiced Quantity","41 Source Type","Customer","4 Item Ledger Entry Type","Sale","2 Item No.","@@"&amp;$F77,"3 Posting Date",N$8,"58 Gen. Prod. Posting Group",$F$7)</t>
  </si>
  <si>
    <t>=NL("Sum","5802 Value Entry","17 Sales Amount (Actual)","41 Source Type","Customer","4 Item Ledger Entry Type","Sale","2 Item No.","@@"&amp;$F77,"3 Posting Date",N$8,"58 Gen. Prod. Posting Group",$F$7)</t>
  </si>
  <si>
    <t>=NL("First","27 Item","3 Description","1 No.","@@"&amp;$F51)</t>
  </si>
  <si>
    <t>=NL("First","27 Item","3 Description","1 No.","@@"&amp;$F52)</t>
  </si>
  <si>
    <t>=NL("First","27 Item","3 Description","1 No.","@@"&amp;$F53)</t>
  </si>
  <si>
    <t>=NL("First","27 Item","22 Unit Cost","1 No.","@@"&amp;$F51)</t>
  </si>
  <si>
    <t>=NL("First","27 Item","22 Unit Cost","1 No.","@@"&amp;$F52)</t>
  </si>
  <si>
    <t>=NL("First","27 Item","22 Unit Cost","1 No.","@@"&amp;$F53)</t>
  </si>
  <si>
    <t>=-NL("Sum","5802 Value Entry","14 Invoiced Quantity","41 Source Type","Customer","4 Item Ledger Entry Type","Sale","2 Item No.","@@"&amp;$F51,"3 Posting Date",I$8,"58 Gen. Prod. Posting Group",$F$7)</t>
  </si>
  <si>
    <t>=-NL("Sum","5802 Value Entry","14 Invoiced Quantity","41 Source Type","Customer","4 Item Ledger Entry Type","Sale","2 Item No.","@@"&amp;$F52,"3 Posting Date",I$8,"58 Gen. Prod. Posting Group",$F$7)</t>
  </si>
  <si>
    <t>=-NL("Sum","5802 Value Entry","14 Invoiced Quantity","41 Source Type","Customer","4 Item Ledger Entry Type","Sale","2 Item No.","@@"&amp;$F53,"3 Posting Date",I$8,"58 Gen. Prod. Posting Group",$F$7)</t>
  </si>
  <si>
    <t>=NL("Sum","5802 Value Entry","17 Sales Amount (Actual)","41 Source Type","Customer","4 Item Ledger Entry Type","Sale","2 Item No.","@@"&amp;$F51,"3 Posting Date",I$8,"58 Gen. Prod. Posting Group",$F$7)</t>
  </si>
  <si>
    <t>=NL("Sum","5802 Value Entry","17 Sales Amount (Actual)","41 Source Type","Customer","4 Item Ledger Entry Type","Sale","2 Item No.","@@"&amp;$F52,"3 Posting Date",I$8,"58 Gen. Prod. Posting Group",$F$7)</t>
  </si>
  <si>
    <t>=NL("Sum","5802 Value Entry","17 Sales Amount (Actual)","41 Source Type","Customer","4 Item Ledger Entry Type","Sale","2 Item No.","@@"&amp;$F53,"3 Posting Date",I$8,"58 Gen. Prod. Posting Group",$F$7)</t>
  </si>
  <si>
    <t>=-NL("Sum","5802 Value Entry","14 Invoiced Quantity","41 Source Type","Customer","4 Item Ledger Entry Type","Sale","2 Item No.","@@"&amp;$F51,"3 Posting Date",N$8,"58 Gen. Prod. Posting Group",$F$7)</t>
  </si>
  <si>
    <t>=-NL("Sum","5802 Value Entry","14 Invoiced Quantity","41 Source Type","Customer","4 Item Ledger Entry Type","Sale","2 Item No.","@@"&amp;$F52,"3 Posting Date",N$8,"58 Gen. Prod. Posting Group",$F$7)</t>
  </si>
  <si>
    <t>=-NL("Sum","5802 Value Entry","14 Invoiced Quantity","41 Source Type","Customer","4 Item Ledger Entry Type","Sale","2 Item No.","@@"&amp;$F53,"3 Posting Date",N$8,"58 Gen. Prod. Posting Group",$F$7)</t>
  </si>
  <si>
    <t>=NL("Sum","5802 Value Entry","17 Sales Amount (Actual)","41 Source Type","Customer","4 Item Ledger Entry Type","Sale","2 Item No.","@@"&amp;$F51,"3 Posting Date",N$8,"58 Gen. Prod. Posting Group",$F$7)</t>
  </si>
  <si>
    <t>=NL("Sum","5802 Value Entry","17 Sales Amount (Actual)","41 Source Type","Customer","4 Item Ledger Entry Type","Sale","2 Item No.","@@"&amp;$F52,"3 Posting Date",N$8,"58 Gen. Prod. Posting Group",$F$7)</t>
  </si>
  <si>
    <t>=NL("Sum","5802 Value Entry","17 Sales Amount (Actual)","41 Source Type","Customer","4 Item Ledger Entry Type","Sale","2 Item No.","@@"&amp;$F53,"3 Posting Date",N$8,"58 Gen. Prod. Posting Group",$F$7)</t>
  </si>
  <si>
    <t>Getting Help</t>
  </si>
  <si>
    <t>Auto+Hide+Values</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</si>
  <si>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</si>
  <si>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</si>
  <si>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</si>
  <si>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</si>
  <si>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</si>
  <si>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</si>
  <si>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</si>
  <si>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</si>
  <si>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</si>
  <si>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</si>
  <si>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</si>
  <si>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</si>
  <si>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</si>
  <si>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</si>
  <si>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</si>
  <si>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information on item sales amounts, quantities and gross profits for a user-defined date range and provides info for same date period, prior year (and YoY variance).  
Dates used in filtering must be formatted to the same format used in NAV.</t>
  </si>
  <si>
    <t>="1/1/2019"</t>
  </si>
  <si>
    <t>="1/12/2019"</t>
  </si>
  <si>
    <t>Auto+Hide+Hidesheet+Formulas=Sheet2,Sheet3+FormulasOnly</t>
  </si>
  <si>
    <t>=Options!C4</t>
  </si>
  <si>
    <t>=Options!C5</t>
  </si>
  <si>
    <t>Auto+Hide+Values+Formulas=Sheet4,Sheet5+FormulasOnly</t>
  </si>
  <si>
    <t>Auto+Hide+Hidesheet+Formulas=Sheet6,Sheet2,Sheet3</t>
  </si>
  <si>
    <t>Auto+Hide+Hidesheet+Formulas=Sheet6,Sheet2,Sheet3+FormulasOnly</t>
  </si>
  <si>
    <t>Auto+Hide+Values+Formulas=Sheet7,Sheet4,Sheet5</t>
  </si>
  <si>
    <t>Auto+Hide+Values+Formulas=Sheet7,Sheet4,Sheet5+FormulasOnly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</si>
</sst>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 #,##0_);_(* \(#,##0\);_(* &quot;-&quot;??_);_(@_)"/>
    <numFmt numFmtId="165" formatCode="_(* #,##0_);_(* \(#,##0\);_(* &quot;-&quot;_)"/>
    <numFmt numFmtId="166" formatCode="0.0%"/>
    <numFmt numFmtId="167" formatCode="&quot;$&quot;#,##0.00"/>
  </numFmts>
  <fonts count="40" x14ac:knownFonts="1">
    <font>
      <sz val="10"/>
      <name val="Arial"/>
    </font>
    <font>
      <sz val="11"/>
      <color theme="1"/>
      <name val="Calibri"/>
      <family val="2"/>
      <scheme val="minor"/>
    </font>
    <font>
      <sz val="11"/>
      <color theme="1"/>
      <name val="Segoe UI"/>
      <family val="2"/>
    </font>
    <font>
      <sz val="18"/>
      <color theme="3"/>
      <name val="Calibri Light"/>
      <family val="2"/>
      <scheme val="major"/>
    </font>
    <font>
      <b/>
      <sz val="15"/>
      <color theme="3"/>
      <name val="Segoe UI"/>
      <family val="2"/>
    </font>
    <font>
      <b/>
      <sz val="13"/>
      <color theme="3"/>
      <name val="Segoe UI"/>
      <family val="2"/>
    </font>
    <font>
      <b/>
      <sz val="11"/>
      <color theme="3"/>
      <name val="Segoe UI"/>
      <family val="2"/>
    </font>
    <font>
      <sz val="11"/>
      <color rgb="FF006100"/>
      <name val="Segoe UI"/>
      <family val="2"/>
    </font>
    <font>
      <sz val="11"/>
      <color rgb="FF9C0006"/>
      <name val="Segoe UI"/>
      <family val="2"/>
    </font>
    <font>
      <sz val="11"/>
      <color rgb="FF9C6500"/>
      <name val="Segoe UI"/>
      <family val="2"/>
    </font>
    <font>
      <sz val="11"/>
      <color rgb="FF3F3F76"/>
      <name val="Segoe UI"/>
      <family val="2"/>
    </font>
    <font>
      <b/>
      <sz val="11"/>
      <color rgb="FF3F3F3F"/>
      <name val="Segoe UI"/>
      <family val="2"/>
    </font>
    <font>
      <b/>
      <sz val="11"/>
      <color rgb="FFFA7D00"/>
      <name val="Segoe UI"/>
      <family val="2"/>
    </font>
    <font>
      <sz val="11"/>
      <color rgb="FFFA7D00"/>
      <name val="Segoe UI"/>
      <family val="2"/>
    </font>
    <font>
      <b/>
      <sz val="11"/>
      <color theme="0"/>
      <name val="Segoe UI"/>
      <family val="2"/>
    </font>
    <font>
      <sz val="11"/>
      <color rgb="FFFF0000"/>
      <name val="Segoe UI"/>
      <family val="2"/>
    </font>
    <font>
      <i/>
      <sz val="11"/>
      <color rgb="FF7F7F7F"/>
      <name val="Segoe UI"/>
      <family val="2"/>
    </font>
    <font>
      <b/>
      <sz val="11"/>
      <color theme="1"/>
      <name val="Segoe UI"/>
      <family val="2"/>
    </font>
    <font>
      <sz val="11"/>
      <color theme="0"/>
      <name val="Segoe UI"/>
      <family val="2"/>
    </font>
    <font>
      <u/>
      <sz val="10"/>
      <color indexed="12"/>
      <name val="Arial"/>
      <family val="2"/>
    </font>
    <font>
      <sz val="10"/>
      <name val="Arial"/>
      <family val="2"/>
    </font>
    <font>
      <b/>
      <sz val="12"/>
      <color indexed="9"/>
      <name val="Segoe UI Semibold"/>
      <family val="2"/>
    </font>
    <font>
      <sz val="11"/>
      <name val="Segoe UI Semibold"/>
      <family val="2"/>
    </font>
    <font>
      <b/>
      <sz val="11"/>
      <name val="Segoe UI Semibold"/>
      <family val="2"/>
    </font>
    <font>
      <i/>
      <sz val="11"/>
      <name val="Segoe UI Semibold"/>
      <family val="2"/>
    </font>
    <font>
      <sz val="12"/>
      <name val="Segoe UI Semibold"/>
      <family val="2"/>
    </font>
    <font>
      <b/>
      <sz val="12"/>
      <name val="Segoe UI Semibold"/>
      <family val="2"/>
    </font>
    <font>
      <b/>
      <sz val="14"/>
      <color indexed="9"/>
      <name val="Segoe UI Semibold"/>
      <family val="2"/>
    </font>
    <font>
      <b/>
      <sz val="16"/>
      <name val="Segoe UI"/>
      <family val="2"/>
    </font>
    <font>
      <b/>
      <sz val="14"/>
      <name val="Segoe UI Semibold"/>
      <family val="2"/>
    </font>
    <font>
      <b/>
      <sz val="14"/>
      <name val="Segoe UI"/>
      <family val="2"/>
    </font>
    <font>
      <sz val="14"/>
      <name val="Segoe UI"/>
      <family val="2"/>
    </font>
    <font>
      <sz val="11"/>
      <color indexed="23"/>
      <name val="Segoe UI Semibold"/>
      <family val="2"/>
    </font>
    <font>
      <b/>
      <u/>
      <sz val="18"/>
      <color indexed="63"/>
      <name val="Segoe UI"/>
      <family val="2"/>
    </font>
    <font>
      <b/>
      <sz val="16"/>
      <name val="Segoe UI Semibold"/>
      <family val="2"/>
    </font>
    <font>
      <sz val="10"/>
      <name val="Arial"/>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66092"/>
        <bgColor indexed="64"/>
      </patternFill>
    </fill>
    <fill>
      <patternFill patternType="solid">
        <fgColor rgb="FFF2F2F2"/>
        <bgColor indexed="64"/>
      </patternFill>
    </fill>
    <fill>
      <patternFill patternType="solid">
        <fgColor rgb="FF95B3D7"/>
        <bgColor indexed="64"/>
      </patternFill>
    </fill>
    <fill>
      <patternFill patternType="solid">
        <fgColor rgb="FFB8CCE4"/>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808080"/>
      </left>
      <right/>
      <top style="thin">
        <color rgb="FF808080"/>
      </top>
      <bottom/>
      <diagonal/>
    </border>
    <border>
      <left/>
      <right/>
      <top style="thin">
        <color rgb="FF80808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9">
    <xf numFmtId="0" fontId="0" fillId="0" borderId="0"/>
    <xf numFmtId="43"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xf numFmtId="0" fontId="20" fillId="0" borderId="0"/>
    <xf numFmtId="0" fontId="19" fillId="0" borderId="0" applyNumberFormat="0" applyFill="0" applyBorder="0" applyAlignment="0" applyProtection="0">
      <alignment vertical="top"/>
      <protection locked="0"/>
    </xf>
    <xf numFmtId="0" fontId="1" fillId="0" borderId="0"/>
  </cellStyleXfs>
  <cellXfs count="128">
    <xf numFmtId="0" fontId="0" fillId="0" borderId="0" xfId="0"/>
    <xf numFmtId="0" fontId="22" fillId="0" borderId="0" xfId="0" applyFont="1"/>
    <xf numFmtId="0" fontId="32" fillId="0" borderId="0" xfId="0" applyFont="1"/>
    <xf numFmtId="0" fontId="23" fillId="0" borderId="0" xfId="0" applyFont="1" applyFill="1" applyBorder="1"/>
    <xf numFmtId="14" fontId="22" fillId="0" borderId="0" xfId="0" applyNumberFormat="1" applyFont="1" applyFill="1" applyBorder="1" applyAlignment="1">
      <alignment horizontal="center"/>
    </xf>
    <xf numFmtId="0" fontId="22" fillId="0" borderId="0" xfId="0" applyFont="1" applyFill="1" applyBorder="1"/>
    <xf numFmtId="0" fontId="24" fillId="0" borderId="0" xfId="0" applyFont="1" applyFill="1" applyBorder="1" applyAlignment="1">
      <alignment horizontal="center"/>
    </xf>
    <xf numFmtId="1" fontId="22" fillId="0" borderId="0" xfId="0" applyNumberFormat="1" applyFont="1"/>
    <xf numFmtId="0" fontId="22" fillId="0" borderId="0" xfId="0" applyFont="1" applyFill="1" applyBorder="1" applyAlignment="1">
      <alignment horizontal="center"/>
    </xf>
    <xf numFmtId="0" fontId="25" fillId="0" borderId="0" xfId="0" applyFont="1"/>
    <xf numFmtId="0" fontId="25" fillId="0" borderId="0" xfId="0" applyFont="1" applyAlignment="1">
      <alignment horizontal="left"/>
    </xf>
    <xf numFmtId="164" fontId="25" fillId="0" borderId="0" xfId="1" applyNumberFormat="1" applyFont="1"/>
    <xf numFmtId="0" fontId="25" fillId="34" borderId="0" xfId="0" applyFont="1" applyFill="1"/>
    <xf numFmtId="0" fontId="25" fillId="34" borderId="0" xfId="0" applyFont="1" applyFill="1" applyAlignment="1">
      <alignment horizontal="left"/>
    </xf>
    <xf numFmtId="164" fontId="25" fillId="34" borderId="0" xfId="1" applyNumberFormat="1" applyFont="1" applyFill="1"/>
    <xf numFmtId="14" fontId="25" fillId="0" borderId="0" xfId="0" applyNumberFormat="1" applyFont="1" applyAlignment="1">
      <alignment horizontal="left"/>
    </xf>
    <xf numFmtId="0" fontId="26" fillId="0" borderId="0" xfId="0" applyFont="1" applyAlignment="1">
      <alignment horizontal="left" vertical="top"/>
    </xf>
    <xf numFmtId="0" fontId="25" fillId="0" borderId="0" xfId="0" applyFont="1" applyAlignment="1">
      <alignment horizontal="left" vertical="top"/>
    </xf>
    <xf numFmtId="0" fontId="26" fillId="0" borderId="0" xfId="0" applyFont="1" applyBorder="1" applyAlignment="1">
      <alignment horizontal="left" vertical="top"/>
    </xf>
    <xf numFmtId="0" fontId="28" fillId="0" borderId="0" xfId="0" applyFont="1"/>
    <xf numFmtId="14" fontId="25" fillId="0" borderId="0" xfId="0" applyNumberFormat="1" applyFont="1" applyAlignment="1">
      <alignment horizontal="center"/>
    </xf>
    <xf numFmtId="0" fontId="25" fillId="0" borderId="0" xfId="0" applyFont="1" applyAlignment="1">
      <alignment horizontal="center"/>
    </xf>
    <xf numFmtId="0" fontId="27" fillId="33" borderId="14" xfId="0" applyFont="1" applyFill="1" applyBorder="1"/>
    <xf numFmtId="0" fontId="27" fillId="33" borderId="15" xfId="0" applyFont="1" applyFill="1" applyBorder="1"/>
    <xf numFmtId="0" fontId="27" fillId="33" borderId="15" xfId="0" applyFont="1" applyFill="1" applyBorder="1" applyAlignment="1">
      <alignment horizontal="right"/>
    </xf>
    <xf numFmtId="164" fontId="26" fillId="35" borderId="16" xfId="1" applyNumberFormat="1" applyFont="1" applyFill="1" applyBorder="1" applyAlignment="1">
      <alignment horizontal="center"/>
    </xf>
    <xf numFmtId="0" fontId="26" fillId="35" borderId="17" xfId="0" applyFont="1" applyFill="1" applyBorder="1" applyAlignment="1">
      <alignment horizontal="center"/>
    </xf>
    <xf numFmtId="0" fontId="26" fillId="35" borderId="18" xfId="0" applyFont="1" applyFill="1" applyBorder="1" applyAlignment="1">
      <alignment horizontal="center"/>
    </xf>
    <xf numFmtId="164" fontId="26" fillId="36" borderId="16" xfId="1" applyNumberFormat="1" applyFont="1" applyFill="1" applyBorder="1" applyAlignment="1">
      <alignment horizontal="center"/>
    </xf>
    <xf numFmtId="0" fontId="26" fillId="36" borderId="17" xfId="0" applyFont="1" applyFill="1" applyBorder="1" applyAlignment="1">
      <alignment horizontal="center"/>
    </xf>
    <xf numFmtId="0" fontId="26" fillId="36" borderId="18" xfId="0" applyFont="1" applyFill="1" applyBorder="1" applyAlignment="1">
      <alignment horizontal="center"/>
    </xf>
    <xf numFmtId="0" fontId="25" fillId="0" borderId="0" xfId="0" applyFont="1" applyBorder="1"/>
    <xf numFmtId="0" fontId="30" fillId="0" borderId="16" xfId="0" applyFont="1" applyBorder="1"/>
    <xf numFmtId="0" fontId="25" fillId="0" borderId="17" xfId="0" applyFont="1" applyBorder="1"/>
    <xf numFmtId="164" fontId="25" fillId="0" borderId="10" xfId="1" applyNumberFormat="1" applyFont="1" applyBorder="1"/>
    <xf numFmtId="0" fontId="25" fillId="0" borderId="19" xfId="0" applyFont="1" applyBorder="1"/>
    <xf numFmtId="164" fontId="25" fillId="0" borderId="16" xfId="1" applyNumberFormat="1" applyFont="1" applyBorder="1"/>
    <xf numFmtId="0" fontId="25" fillId="0" borderId="18" xfId="0" applyFont="1" applyBorder="1"/>
    <xf numFmtId="0" fontId="25" fillId="0" borderId="10" xfId="0" applyFont="1" applyBorder="1"/>
    <xf numFmtId="44" fontId="30" fillId="0" borderId="0" xfId="2" applyFont="1" applyBorder="1"/>
    <xf numFmtId="0" fontId="31" fillId="0" borderId="0" xfId="0" applyFont="1" applyBorder="1"/>
    <xf numFmtId="167" fontId="31" fillId="0" borderId="0" xfId="0" applyNumberFormat="1" applyFont="1" applyBorder="1"/>
    <xf numFmtId="37" fontId="25" fillId="0" borderId="10" xfId="1" applyNumberFormat="1" applyFont="1" applyBorder="1"/>
    <xf numFmtId="43" fontId="25" fillId="0" borderId="0" xfId="2" applyNumberFormat="1" applyFont="1" applyBorder="1"/>
    <xf numFmtId="9" fontId="25" fillId="0" borderId="19" xfId="3" applyNumberFormat="1" applyFont="1" applyBorder="1"/>
    <xf numFmtId="43" fontId="25" fillId="0" borderId="0" xfId="0" applyNumberFormat="1" applyFont="1"/>
    <xf numFmtId="165" fontId="25" fillId="0" borderId="0" xfId="0" applyNumberFormat="1" applyFont="1" applyBorder="1" applyAlignment="1">
      <alignment horizontal="left" indent="2"/>
    </xf>
    <xf numFmtId="43" fontId="25" fillId="0" borderId="0" xfId="0" applyNumberFormat="1" applyFont="1" applyBorder="1"/>
    <xf numFmtId="9" fontId="25" fillId="0" borderId="19" xfId="0" applyNumberFormat="1" applyFont="1" applyBorder="1"/>
    <xf numFmtId="0" fontId="26" fillId="0" borderId="0" xfId="0" applyFont="1"/>
    <xf numFmtId="0" fontId="26" fillId="34" borderId="0" xfId="0" applyFont="1" applyFill="1"/>
    <xf numFmtId="0" fontId="26" fillId="0" borderId="10" xfId="0" applyFont="1" applyBorder="1"/>
    <xf numFmtId="0" fontId="26" fillId="0" borderId="0" xfId="0" applyFont="1" applyBorder="1"/>
    <xf numFmtId="0" fontId="30" fillId="0" borderId="0" xfId="0" applyFont="1" applyBorder="1"/>
    <xf numFmtId="37" fontId="29" fillId="0" borderId="10" xfId="1" applyNumberFormat="1" applyFont="1" applyBorder="1"/>
    <xf numFmtId="43" fontId="29" fillId="0" borderId="0" xfId="0" applyNumberFormat="1" applyFont="1" applyBorder="1"/>
    <xf numFmtId="9" fontId="29" fillId="0" borderId="19" xfId="3" applyNumberFormat="1" applyFont="1" applyBorder="1"/>
    <xf numFmtId="43" fontId="29" fillId="0" borderId="0" xfId="0" applyNumberFormat="1" applyFont="1"/>
    <xf numFmtId="0" fontId="29" fillId="0" borderId="0" xfId="0" applyFont="1"/>
    <xf numFmtId="165" fontId="29" fillId="0" borderId="0" xfId="0" applyNumberFormat="1" applyFont="1" applyBorder="1" applyAlignment="1">
      <alignment horizontal="left" indent="2"/>
    </xf>
    <xf numFmtId="0" fontId="25" fillId="0" borderId="11" xfId="0" applyFont="1" applyBorder="1"/>
    <xf numFmtId="0" fontId="25" fillId="0" borderId="13" xfId="0" applyFont="1" applyBorder="1"/>
    <xf numFmtId="0" fontId="30" fillId="0" borderId="12" xfId="0" applyFont="1" applyBorder="1"/>
    <xf numFmtId="0" fontId="0" fillId="0" borderId="0" xfId="0" quotePrefix="1"/>
    <xf numFmtId="164" fontId="25" fillId="0" borderId="21" xfId="1" applyNumberFormat="1" applyFont="1" applyBorder="1"/>
    <xf numFmtId="0" fontId="25" fillId="0" borderId="20" xfId="0" applyFont="1" applyBorder="1"/>
    <xf numFmtId="0" fontId="25" fillId="0" borderId="22" xfId="0" applyFont="1" applyBorder="1"/>
    <xf numFmtId="0" fontId="25" fillId="0" borderId="21" xfId="0" applyFont="1" applyBorder="1"/>
    <xf numFmtId="41" fontId="25" fillId="0" borderId="23" xfId="0" applyNumberFormat="1" applyFont="1" applyBorder="1"/>
    <xf numFmtId="165" fontId="25" fillId="0" borderId="24" xfId="0" applyNumberFormat="1" applyFont="1" applyBorder="1" applyAlignment="1">
      <alignment horizontal="left" indent="2"/>
    </xf>
    <xf numFmtId="166" fontId="25" fillId="0" borderId="23" xfId="3" applyNumberFormat="1" applyFont="1" applyBorder="1"/>
    <xf numFmtId="166" fontId="25" fillId="0" borderId="24" xfId="0" applyNumberFormat="1" applyFont="1" applyBorder="1"/>
    <xf numFmtId="41" fontId="29" fillId="0" borderId="23" xfId="0" applyNumberFormat="1" applyFont="1" applyBorder="1"/>
    <xf numFmtId="165" fontId="29" fillId="0" borderId="24" xfId="0" applyNumberFormat="1" applyFont="1" applyBorder="1" applyAlignment="1">
      <alignment horizontal="left" indent="2"/>
    </xf>
    <xf numFmtId="166" fontId="29" fillId="0" borderId="23" xfId="3" applyNumberFormat="1" applyFont="1" applyBorder="1"/>
    <xf numFmtId="166" fontId="25" fillId="0" borderId="29" xfId="0" applyNumberFormat="1" applyFont="1" applyBorder="1"/>
    <xf numFmtId="0" fontId="21" fillId="33" borderId="15" xfId="0" applyFont="1" applyFill="1" applyBorder="1" applyAlignment="1">
      <alignment horizontal="center"/>
    </xf>
    <xf numFmtId="0" fontId="21" fillId="33" borderId="21" xfId="0" applyFont="1" applyFill="1" applyBorder="1" applyAlignment="1">
      <alignment horizontal="center"/>
    </xf>
    <xf numFmtId="0" fontId="21" fillId="33" borderId="20" xfId="0" applyFont="1" applyFill="1" applyBorder="1" applyAlignment="1">
      <alignment horizontal="center"/>
    </xf>
    <xf numFmtId="0" fontId="21" fillId="33" borderId="22" xfId="0" applyFont="1" applyFill="1" applyBorder="1" applyAlignment="1">
      <alignment horizontal="center"/>
    </xf>
    <xf numFmtId="43" fontId="34" fillId="0" borderId="0" xfId="0" applyNumberFormat="1" applyFont="1"/>
    <xf numFmtId="0" fontId="34" fillId="0" borderId="0" xfId="0" applyFont="1"/>
    <xf numFmtId="41" fontId="34" fillId="0" borderId="25" xfId="0" applyNumberFormat="1" applyFont="1" applyBorder="1"/>
    <xf numFmtId="165" fontId="34" fillId="0" borderId="26" xfId="0" applyNumberFormat="1" applyFont="1" applyBorder="1" applyAlignment="1">
      <alignment horizontal="left" indent="2"/>
    </xf>
    <xf numFmtId="165" fontId="34" fillId="0" borderId="27" xfId="0" applyNumberFormat="1" applyFont="1" applyBorder="1" applyAlignment="1">
      <alignment horizontal="left" indent="2"/>
    </xf>
    <xf numFmtId="166" fontId="34" fillId="0" borderId="28" xfId="3" applyNumberFormat="1" applyFont="1" applyBorder="1"/>
    <xf numFmtId="166" fontId="34" fillId="0" borderId="29" xfId="0" applyNumberFormat="1" applyFont="1" applyBorder="1"/>
    <xf numFmtId="37" fontId="34" fillId="0" borderId="25" xfId="1" applyNumberFormat="1" applyFont="1" applyBorder="1"/>
    <xf numFmtId="43" fontId="34" fillId="0" borderId="26" xfId="0" applyNumberFormat="1" applyFont="1" applyBorder="1"/>
    <xf numFmtId="9" fontId="34" fillId="0" borderId="27" xfId="3" applyNumberFormat="1" applyFont="1" applyBorder="1"/>
    <xf numFmtId="0" fontId="25" fillId="0" borderId="25" xfId="0" applyFont="1" applyBorder="1"/>
    <xf numFmtId="0" fontId="25" fillId="0" borderId="26" xfId="0" applyFont="1" applyBorder="1"/>
    <xf numFmtId="0" fontId="25" fillId="0" borderId="27" xfId="0" applyFont="1" applyBorder="1"/>
    <xf numFmtId="37" fontId="25" fillId="0" borderId="25" xfId="1" applyNumberFormat="1" applyFont="1" applyBorder="1"/>
    <xf numFmtId="43" fontId="25" fillId="0" borderId="26" xfId="0" applyNumberFormat="1" applyFont="1" applyBorder="1"/>
    <xf numFmtId="9" fontId="25" fillId="0" borderId="27" xfId="0" applyNumberFormat="1" applyFont="1" applyBorder="1"/>
    <xf numFmtId="41" fontId="25" fillId="0" borderId="25" xfId="0" applyNumberFormat="1" applyFont="1" applyBorder="1"/>
    <xf numFmtId="165" fontId="25" fillId="0" borderId="26" xfId="0" applyNumberFormat="1" applyFont="1" applyBorder="1" applyAlignment="1">
      <alignment horizontal="left" indent="2"/>
    </xf>
    <xf numFmtId="165" fontId="25" fillId="0" borderId="27" xfId="0" applyNumberFormat="1" applyFont="1" applyBorder="1" applyAlignment="1">
      <alignment horizontal="left" indent="2"/>
    </xf>
    <xf numFmtId="166" fontId="25" fillId="0" borderId="25" xfId="3" applyNumberFormat="1" applyFont="1" applyBorder="1"/>
    <xf numFmtId="166" fontId="25" fillId="0" borderId="27" xfId="0" applyNumberFormat="1" applyFont="1" applyBorder="1"/>
    <xf numFmtId="0" fontId="26" fillId="0" borderId="28" xfId="0" applyFont="1" applyBorder="1"/>
    <xf numFmtId="0" fontId="26" fillId="0" borderId="30" xfId="0" applyFont="1" applyBorder="1"/>
    <xf numFmtId="0" fontId="30" fillId="0" borderId="29" xfId="0" applyFont="1" applyBorder="1"/>
    <xf numFmtId="37" fontId="29" fillId="0" borderId="28" xfId="1" applyNumberFormat="1" applyFont="1" applyBorder="1"/>
    <xf numFmtId="43" fontId="29" fillId="0" borderId="30" xfId="0" applyNumberFormat="1" applyFont="1" applyBorder="1"/>
    <xf numFmtId="9" fontId="29" fillId="0" borderId="29" xfId="3" applyNumberFormat="1" applyFont="1" applyBorder="1"/>
    <xf numFmtId="41" fontId="29" fillId="0" borderId="28" xfId="0" applyNumberFormat="1" applyFont="1" applyBorder="1"/>
    <xf numFmtId="165" fontId="29" fillId="0" borderId="30" xfId="0" applyNumberFormat="1" applyFont="1" applyBorder="1" applyAlignment="1">
      <alignment horizontal="left" indent="2"/>
    </xf>
    <xf numFmtId="165" fontId="29" fillId="0" borderId="29" xfId="0" applyNumberFormat="1" applyFont="1" applyBorder="1" applyAlignment="1">
      <alignment horizontal="left" indent="2"/>
    </xf>
    <xf numFmtId="166" fontId="29" fillId="0" borderId="28" xfId="3" applyNumberFormat="1" applyFont="1" applyBorder="1"/>
    <xf numFmtId="0" fontId="21" fillId="33" borderId="0" xfId="0" applyFont="1" applyFill="1" applyBorder="1" applyAlignment="1">
      <alignment horizontal="left"/>
    </xf>
    <xf numFmtId="0" fontId="33" fillId="0" borderId="0" xfId="0" applyFont="1" applyFill="1" applyAlignment="1">
      <alignment horizontal="left"/>
    </xf>
    <xf numFmtId="14" fontId="28" fillId="0" borderId="0" xfId="0" applyNumberFormat="1" applyFont="1" applyAlignment="1">
      <alignment horizontal="center"/>
    </xf>
    <xf numFmtId="0" fontId="21" fillId="33" borderId="10"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9" xfId="0" applyFont="1" applyFill="1" applyBorder="1" applyAlignment="1">
      <alignment horizontal="center" vertical="center" wrapText="1"/>
    </xf>
    <xf numFmtId="0" fontId="21" fillId="33" borderId="25" xfId="0" applyFont="1" applyFill="1" applyBorder="1" applyAlignment="1">
      <alignment horizontal="center"/>
    </xf>
    <xf numFmtId="0" fontId="21" fillId="33" borderId="27" xfId="0" applyFont="1" applyFill="1" applyBorder="1" applyAlignment="1">
      <alignment horizontal="center"/>
    </xf>
    <xf numFmtId="0" fontId="37" fillId="0" borderId="0" xfId="48" applyFont="1"/>
    <xf numFmtId="0" fontId="37" fillId="0" borderId="0" xfId="48" applyFont="1" applyAlignment="1">
      <alignment vertical="top"/>
    </xf>
    <xf numFmtId="0" fontId="37" fillId="0" borderId="0" xfId="48" applyFont="1" applyAlignment="1">
      <alignment vertical="top" wrapText="1"/>
    </xf>
    <xf numFmtId="0" fontId="38" fillId="0" borderId="0" xfId="48" applyFont="1" applyAlignment="1">
      <alignment vertical="top"/>
    </xf>
    <xf numFmtId="0" fontId="39" fillId="0" borderId="0" xfId="48" applyFont="1" applyAlignment="1">
      <alignment vertical="top"/>
    </xf>
    <xf numFmtId="0" fontId="36" fillId="0" borderId="0" xfId="47" applyFont="1" applyAlignment="1" applyProtection="1">
      <alignment vertical="top"/>
    </xf>
    <xf numFmtId="14" fontId="25" fillId="34" borderId="0" xfId="0" applyNumberFormat="1" applyFont="1" applyFill="1"/>
    <xf numFmtId="14" fontId="25" fillId="0" borderId="0" xfId="0" applyNumberFormat="1" applyFont="1"/>
  </cellXfs>
  <cellStyles count="4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ustomBuiltin="1"/>
    <cellStyle name="Currency" xfId="2" builtinId="4"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3" xfId="47"/>
    <cellStyle name="Input" xfId="12" builtinId="20" customBuiltin="1"/>
    <cellStyle name="Linked Cell" xfId="15" builtinId="24" customBuiltin="1"/>
    <cellStyle name="Neutral" xfId="11" builtinId="28" customBuiltin="1"/>
    <cellStyle name="Normal" xfId="0" builtinId="0" customBuiltin="1"/>
    <cellStyle name="Normal 2" xfId="45"/>
    <cellStyle name="Normal 2 4" xfId="46"/>
    <cellStyle name="Normal 3" xfId="48"/>
    <cellStyle name="Note" xfId="18" builtinId="10" customBuiltin="1"/>
    <cellStyle name="Output" xfId="13" builtinId="21" customBuiltin="1"/>
    <cellStyle name="Percent" xfId="3" builtinId="5"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tabSelected="1" topLeftCell="B2" workbookViewId="0"/>
  </sheetViews>
  <sheetFormatPr defaultColWidth="9.140625" defaultRowHeight="14.25" x14ac:dyDescent="0.25"/>
  <cols>
    <col min="1" max="1" width="4.42578125" style="120" hidden="1" customWidth="1"/>
    <col min="2" max="2" width="9.140625" style="120"/>
    <col min="3" max="3" width="32" style="121" bestFit="1" customWidth="1"/>
    <col min="4" max="4" width="77.28515625" style="122" customWidth="1"/>
    <col min="5" max="5" width="10.140625" style="121" customWidth="1"/>
    <col min="6" max="16384" width="9.140625" style="120"/>
  </cols>
  <sheetData>
    <row r="1" spans="1:5" ht="14.25" hidden="1" customHeight="1" x14ac:dyDescent="0.25">
      <c r="A1" s="120" t="s">
        <v>3271</v>
      </c>
    </row>
    <row r="7" spans="1:5" ht="30.75" x14ac:dyDescent="0.25">
      <c r="C7" s="123" t="s">
        <v>28</v>
      </c>
    </row>
    <row r="9" spans="1:5" ht="71.25" x14ac:dyDescent="0.25">
      <c r="C9" s="124" t="s">
        <v>29</v>
      </c>
      <c r="D9" s="122" t="s">
        <v>3287</v>
      </c>
    </row>
    <row r="10" spans="1:5" x14ac:dyDescent="0.25">
      <c r="C10" s="124"/>
    </row>
    <row r="11" spans="1:5" x14ac:dyDescent="0.25">
      <c r="C11" s="124" t="s">
        <v>3272</v>
      </c>
      <c r="D11" s="122" t="s">
        <v>3273</v>
      </c>
    </row>
    <row r="12" spans="1:5" x14ac:dyDescent="0.25">
      <c r="C12" s="124"/>
    </row>
    <row r="13" spans="1:5" ht="42.75" x14ac:dyDescent="0.25">
      <c r="C13" s="124" t="s">
        <v>30</v>
      </c>
      <c r="D13" s="122" t="s">
        <v>3274</v>
      </c>
      <c r="E13" s="125" t="s">
        <v>922</v>
      </c>
    </row>
    <row r="14" spans="1:5" ht="16.5" customHeight="1" x14ac:dyDescent="0.25">
      <c r="C14" s="124"/>
    </row>
    <row r="15" spans="1:5" ht="28.5" x14ac:dyDescent="0.25">
      <c r="C15" s="124" t="s">
        <v>920</v>
      </c>
      <c r="D15" s="122" t="s">
        <v>3275</v>
      </c>
      <c r="E15" s="125" t="s">
        <v>921</v>
      </c>
    </row>
    <row r="16" spans="1:5" x14ac:dyDescent="0.25">
      <c r="C16" s="124"/>
    </row>
    <row r="17" spans="3:5" ht="57" x14ac:dyDescent="0.25">
      <c r="C17" s="124" t="s">
        <v>3270</v>
      </c>
      <c r="D17" s="122" t="s">
        <v>3276</v>
      </c>
      <c r="E17" s="125" t="s">
        <v>3277</v>
      </c>
    </row>
    <row r="18" spans="3:5" x14ac:dyDescent="0.25">
      <c r="C18" s="124"/>
    </row>
    <row r="19" spans="3:5" ht="28.5" x14ac:dyDescent="0.25">
      <c r="C19" s="124" t="s">
        <v>31</v>
      </c>
      <c r="D19" s="122" t="s">
        <v>3278</v>
      </c>
      <c r="E19" s="125" t="s">
        <v>3279</v>
      </c>
    </row>
    <row r="20" spans="3:5" x14ac:dyDescent="0.25">
      <c r="C20" s="124"/>
    </row>
    <row r="21" spans="3:5" x14ac:dyDescent="0.25">
      <c r="C21" s="124" t="s">
        <v>32</v>
      </c>
      <c r="D21" s="122" t="s">
        <v>3280</v>
      </c>
      <c r="E21" s="125" t="s">
        <v>3281</v>
      </c>
    </row>
    <row r="22" spans="3:5" x14ac:dyDescent="0.25">
      <c r="C22" s="124"/>
    </row>
    <row r="23" spans="3:5" x14ac:dyDescent="0.25">
      <c r="C23" s="124" t="s">
        <v>33</v>
      </c>
      <c r="D23" s="122" t="s">
        <v>3282</v>
      </c>
      <c r="E23" s="125" t="s">
        <v>3283</v>
      </c>
    </row>
    <row r="24" spans="3:5" x14ac:dyDescent="0.25">
      <c r="C24" s="124"/>
    </row>
    <row r="25" spans="3:5" ht="71.25" x14ac:dyDescent="0.25">
      <c r="C25" s="124" t="s">
        <v>3284</v>
      </c>
      <c r="D25" s="122" t="s">
        <v>3285</v>
      </c>
    </row>
    <row r="26" spans="3:5" x14ac:dyDescent="0.25">
      <c r="C26" s="124"/>
    </row>
    <row r="27" spans="3:5" x14ac:dyDescent="0.25">
      <c r="C27" s="124" t="s">
        <v>34</v>
      </c>
      <c r="D27" s="122" t="s">
        <v>3286</v>
      </c>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D8" sqref="D8"/>
    </sheetView>
  </sheetViews>
  <sheetFormatPr defaultColWidth="9.140625" defaultRowHeight="16.5" customHeight="1" x14ac:dyDescent="0.3"/>
  <cols>
    <col min="1" max="1" width="23.28515625" style="1" hidden="1" customWidth="1"/>
    <col min="2" max="2" width="26.42578125" style="1" bestFit="1" customWidth="1"/>
    <col min="3" max="3" width="26.140625" style="1" bestFit="1" customWidth="1"/>
    <col min="4" max="16384" width="9.140625" style="1"/>
  </cols>
  <sheetData>
    <row r="1" spans="1:9" ht="16.5" hidden="1" customHeight="1" x14ac:dyDescent="0.3">
      <c r="A1" s="2" t="s">
        <v>3294</v>
      </c>
      <c r="B1" s="2" t="s">
        <v>0</v>
      </c>
      <c r="C1" s="2" t="s">
        <v>1</v>
      </c>
      <c r="D1" s="2" t="s">
        <v>2</v>
      </c>
      <c r="E1" s="1" t="s">
        <v>924</v>
      </c>
    </row>
    <row r="2" spans="1:9" ht="16.5" customHeight="1" x14ac:dyDescent="0.3">
      <c r="A2" s="2"/>
    </row>
    <row r="3" spans="1:9" ht="17.25" customHeight="1" x14ac:dyDescent="0.3">
      <c r="A3" s="2"/>
      <c r="B3" s="111" t="s">
        <v>3</v>
      </c>
      <c r="C3" s="111"/>
      <c r="D3" s="111"/>
    </row>
    <row r="4" spans="1:9" ht="16.5" customHeight="1" x14ac:dyDescent="0.3">
      <c r="A4" s="2" t="s">
        <v>4</v>
      </c>
      <c r="B4" s="3" t="s">
        <v>5</v>
      </c>
      <c r="C4" s="4" t="str">
        <f>"1/1/2019"</f>
        <v>1/1/2019</v>
      </c>
      <c r="D4" s="5"/>
      <c r="E4" s="1" t="s">
        <v>923</v>
      </c>
    </row>
    <row r="5" spans="1:9" ht="16.5" customHeight="1" x14ac:dyDescent="0.3">
      <c r="A5" s="2" t="s">
        <v>4</v>
      </c>
      <c r="B5" s="3" t="s">
        <v>6</v>
      </c>
      <c r="C5" s="4" t="str">
        <f>"1/12/2019"</f>
        <v>1/12/2019</v>
      </c>
      <c r="D5" s="5"/>
      <c r="E5" s="1" t="s">
        <v>923</v>
      </c>
    </row>
    <row r="6" spans="1:9" ht="16.5" customHeight="1" x14ac:dyDescent="0.3">
      <c r="A6" s="2" t="s">
        <v>4</v>
      </c>
      <c r="B6" s="3" t="s">
        <v>7</v>
      </c>
      <c r="C6" s="6" t="s">
        <v>8</v>
      </c>
      <c r="D6" s="2" t="str">
        <f>"Lookup"</f>
        <v>Lookup</v>
      </c>
    </row>
    <row r="7" spans="1:9" ht="16.5" customHeight="1" x14ac:dyDescent="0.3">
      <c r="A7" s="2" t="s">
        <v>4</v>
      </c>
      <c r="B7" s="3" t="s">
        <v>9</v>
      </c>
      <c r="C7" s="6" t="str">
        <f>"*"</f>
        <v>*</v>
      </c>
      <c r="D7" s="2" t="str">
        <f>"Lookup"</f>
        <v>Lookup</v>
      </c>
      <c r="I7" s="7"/>
    </row>
    <row r="8" spans="1:9" ht="16.5" customHeight="1" x14ac:dyDescent="0.3">
      <c r="A8" s="2" t="s">
        <v>4</v>
      </c>
      <c r="B8" s="3" t="s">
        <v>10</v>
      </c>
      <c r="C8" s="8" t="str">
        <f>"*"</f>
        <v>*</v>
      </c>
      <c r="D8" s="2" t="str">
        <f>"Lookup"</f>
        <v>Lookup</v>
      </c>
    </row>
  </sheetData>
  <mergeCells count="1">
    <mergeCell ref="B3:D3"/>
  </mergeCells>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showGridLines="0" topLeftCell="D1" zoomScale="70" workbookViewId="0">
      <pane ySplit="11" topLeftCell="A12" activePane="bottomLeft" state="frozen"/>
      <selection pane="bottomLeft"/>
    </sheetView>
  </sheetViews>
  <sheetFormatPr defaultColWidth="9.140625" defaultRowHeight="17.25" customHeight="1" x14ac:dyDescent="0.3"/>
  <cols>
    <col min="1" max="1" width="9.140625" style="9" hidden="1" customWidth="1"/>
    <col min="2" max="2" width="27.140625" style="9" hidden="1" customWidth="1"/>
    <col min="3" max="3" width="22.140625" style="10" hidden="1" customWidth="1"/>
    <col min="4" max="4" width="7.28515625" style="10" customWidth="1"/>
    <col min="5" max="5" width="28.5703125" style="9" bestFit="1" customWidth="1"/>
    <col min="6" max="6" width="14.5703125" style="9" bestFit="1" customWidth="1"/>
    <col min="7" max="7" width="60.5703125" style="9" bestFit="1" customWidth="1"/>
    <col min="8" max="8" width="26.28515625" style="9" bestFit="1" customWidth="1"/>
    <col min="9" max="9" width="12.5703125" style="9" bestFit="1" customWidth="1"/>
    <col min="10" max="10" width="20.140625" style="11" bestFit="1" customWidth="1"/>
    <col min="11" max="11" width="19.28515625" style="9" bestFit="1" customWidth="1"/>
    <col min="12" max="12" width="9.5703125" style="9" bestFit="1" customWidth="1"/>
    <col min="13" max="13" width="1.42578125" style="9" customWidth="1"/>
    <col min="14" max="14" width="12.5703125" style="9" bestFit="1" customWidth="1"/>
    <col min="15" max="15" width="18.5703125" style="11" bestFit="1" customWidth="1"/>
    <col min="16" max="16" width="18.5703125" style="9" bestFit="1" customWidth="1"/>
    <col min="17" max="17" width="9.5703125" style="9" bestFit="1" customWidth="1"/>
    <col min="18" max="18" width="1.42578125" style="9" customWidth="1"/>
    <col min="19" max="19" width="12.85546875" style="9" bestFit="1" customWidth="1"/>
    <col min="20" max="20" width="18.140625" style="9" bestFit="1" customWidth="1"/>
    <col min="21" max="21" width="16.7109375" style="9" bestFit="1" customWidth="1"/>
    <col min="22" max="22" width="1.42578125" style="9" customWidth="1"/>
    <col min="23" max="23" width="9.28515625" style="9" bestFit="1" customWidth="1"/>
    <col min="24" max="24" width="14.5703125" style="9" customWidth="1"/>
    <col min="25" max="16384" width="9.140625" style="9"/>
  </cols>
  <sheetData>
    <row r="1" spans="1:24" ht="17.25" hidden="1" customHeight="1" x14ac:dyDescent="0.3">
      <c r="A1" s="12" t="s">
        <v>3296</v>
      </c>
      <c r="B1" s="12" t="s">
        <v>11</v>
      </c>
      <c r="C1" s="13" t="s">
        <v>11</v>
      </c>
      <c r="D1" s="13"/>
      <c r="E1" s="12" t="s">
        <v>12</v>
      </c>
      <c r="F1" s="12" t="s">
        <v>12</v>
      </c>
      <c r="G1" s="12" t="s">
        <v>12</v>
      </c>
      <c r="H1" s="12" t="s">
        <v>12</v>
      </c>
      <c r="I1" s="12" t="s">
        <v>12</v>
      </c>
      <c r="J1" s="14" t="s">
        <v>12</v>
      </c>
      <c r="K1" s="12" t="s">
        <v>12</v>
      </c>
      <c r="L1" s="12" t="s">
        <v>12</v>
      </c>
      <c r="M1" s="12"/>
      <c r="N1" s="12" t="s">
        <v>12</v>
      </c>
      <c r="O1" s="14" t="s">
        <v>12</v>
      </c>
      <c r="P1" s="12" t="s">
        <v>12</v>
      </c>
      <c r="Q1" s="12" t="s">
        <v>12</v>
      </c>
      <c r="R1" s="12"/>
      <c r="S1" s="12" t="s">
        <v>12</v>
      </c>
      <c r="T1" s="12" t="s">
        <v>12</v>
      </c>
      <c r="U1" s="12" t="s">
        <v>12</v>
      </c>
      <c r="V1" s="12"/>
      <c r="W1" s="12" t="s">
        <v>12</v>
      </c>
    </row>
    <row r="2" spans="1:24" ht="17.25" hidden="1" customHeight="1" x14ac:dyDescent="0.3">
      <c r="A2" s="12" t="s">
        <v>13</v>
      </c>
      <c r="B2" s="12" t="s">
        <v>5</v>
      </c>
      <c r="C2" s="126" t="str">
        <f>Options!C4</f>
        <v>1/1/2019</v>
      </c>
      <c r="D2" s="15"/>
    </row>
    <row r="3" spans="1:24" ht="17.25" customHeight="1" x14ac:dyDescent="0.3">
      <c r="A3" s="12"/>
      <c r="B3" s="12" t="s">
        <v>6</v>
      </c>
      <c r="C3" s="126" t="str">
        <f>Options!C5</f>
        <v>1/12/2019</v>
      </c>
      <c r="D3" s="15"/>
    </row>
    <row r="4" spans="1:24" ht="26.25" customHeight="1" x14ac:dyDescent="0.45">
      <c r="A4" s="12"/>
      <c r="B4" s="12" t="s">
        <v>14</v>
      </c>
      <c r="C4" s="12" t="str">
        <f>"1/1/2019..1/12/2019"</f>
        <v>1/1/2019..1/12/2019</v>
      </c>
      <c r="D4" s="15"/>
      <c r="E4" s="112" t="s">
        <v>15</v>
      </c>
      <c r="F4" s="112"/>
      <c r="G4" s="112"/>
      <c r="H4" s="112"/>
    </row>
    <row r="5" spans="1:24" ht="17.25" customHeight="1" x14ac:dyDescent="0.3">
      <c r="A5" s="12"/>
      <c r="B5" s="12" t="s">
        <v>16</v>
      </c>
      <c r="C5" s="12" t="str">
        <f>"1/1/2018..1/12/2018"</f>
        <v>1/1/2018..1/12/2018</v>
      </c>
      <c r="D5" s="15"/>
    </row>
    <row r="6" spans="1:24" ht="20.100000000000001" customHeight="1" x14ac:dyDescent="0.3">
      <c r="A6" s="12"/>
      <c r="B6" s="12"/>
      <c r="C6" s="12"/>
      <c r="E6" s="16" t="s">
        <v>10</v>
      </c>
      <c r="F6" s="17" t="str">
        <f>ItemNo</f>
        <v>*</v>
      </c>
    </row>
    <row r="7" spans="1:24" ht="20.100000000000001" customHeight="1" x14ac:dyDescent="0.3">
      <c r="A7" s="12"/>
      <c r="B7" s="12"/>
      <c r="C7" s="12"/>
      <c r="E7" s="18" t="s">
        <v>7</v>
      </c>
      <c r="F7" s="17" t="str">
        <f>Genprodpostinggroup</f>
        <v>*</v>
      </c>
    </row>
    <row r="8" spans="1:24" ht="25.5" customHeight="1" x14ac:dyDescent="0.5">
      <c r="A8" s="12"/>
      <c r="B8" s="12"/>
      <c r="C8" s="12"/>
      <c r="E8" s="18" t="s">
        <v>9</v>
      </c>
      <c r="F8" s="17" t="str">
        <f>Productgroupcode</f>
        <v>*</v>
      </c>
      <c r="I8" s="113" t="str">
        <f>$C$4</f>
        <v>1/1/2019..1/12/2019</v>
      </c>
      <c r="J8" s="113"/>
      <c r="K8" s="113"/>
      <c r="L8" s="113"/>
      <c r="M8" s="19"/>
      <c r="N8" s="113" t="str">
        <f>$C$5</f>
        <v>1/1/2018..1/12/2018</v>
      </c>
      <c r="O8" s="113"/>
      <c r="P8" s="113"/>
      <c r="Q8" s="113"/>
    </row>
    <row r="9" spans="1:24" ht="17.25" customHeight="1" x14ac:dyDescent="0.3">
      <c r="A9" s="12"/>
      <c r="B9" s="12" t="str">
        <f>"||""Filter"",""27 Item"",""1 No."",""1 No."",""*"",""5704 Product Group Code"",""*"",""91 Gen. Prod. Posting Group"",""*"","""","""",""78 Sales ($)"",""&gt;0"",""64 Date Filter"",""1/1/2019..1/12/2019|1/1/2018..1/12/2018"","""","""","""","""","""","""","""","""""</f>
        <v>||"Filter","27 Item","1 No.","1 No.","*","5704 Product Group Code","*","91 Gen. Prod. Posting Group","*","","","78 Sales ($)","&gt;0","64 Date Filter","1/1/2019..1/12/2019|1/1/2018..1/12/2018","","","","","","","",""</v>
      </c>
      <c r="C9" s="12" t="s">
        <v>17</v>
      </c>
      <c r="I9" s="20"/>
      <c r="J9" s="21"/>
      <c r="K9" s="21"/>
      <c r="L9" s="21"/>
      <c r="N9" s="20"/>
      <c r="O9" s="21"/>
      <c r="P9" s="21"/>
      <c r="Q9" s="21"/>
    </row>
    <row r="10" spans="1:24" ht="18.75" customHeight="1" x14ac:dyDescent="0.3">
      <c r="A10" s="12"/>
      <c r="B10" s="12"/>
      <c r="C10" s="12"/>
      <c r="J10" s="9"/>
      <c r="O10" s="9"/>
      <c r="S10" s="114" t="s">
        <v>18</v>
      </c>
      <c r="T10" s="115"/>
      <c r="U10" s="115"/>
      <c r="V10" s="116"/>
      <c r="W10" s="115"/>
      <c r="X10" s="117"/>
    </row>
    <row r="11" spans="1:24" ht="20.25" customHeight="1" x14ac:dyDescent="0.35">
      <c r="A11" s="12"/>
      <c r="B11" s="12"/>
      <c r="C11" s="12"/>
      <c r="E11" s="22" t="s">
        <v>19</v>
      </c>
      <c r="F11" s="23" t="s">
        <v>10</v>
      </c>
      <c r="G11" s="23" t="s">
        <v>20</v>
      </c>
      <c r="H11" s="24" t="s">
        <v>21</v>
      </c>
      <c r="I11" s="25" t="s">
        <v>22</v>
      </c>
      <c r="J11" s="26" t="s">
        <v>23</v>
      </c>
      <c r="K11" s="26" t="s">
        <v>24</v>
      </c>
      <c r="L11" s="27" t="s">
        <v>25</v>
      </c>
      <c r="N11" s="28" t="s">
        <v>22</v>
      </c>
      <c r="O11" s="29" t="s">
        <v>23</v>
      </c>
      <c r="P11" s="29" t="s">
        <v>24</v>
      </c>
      <c r="Q11" s="30" t="s">
        <v>25</v>
      </c>
      <c r="S11" s="77" t="s">
        <v>22</v>
      </c>
      <c r="T11" s="78" t="s">
        <v>23</v>
      </c>
      <c r="U11" s="79" t="s">
        <v>24</v>
      </c>
      <c r="V11" s="76"/>
      <c r="W11" s="118" t="s">
        <v>25</v>
      </c>
      <c r="X11" s="119"/>
    </row>
    <row r="12" spans="1:24" ht="20.25" customHeight="1" x14ac:dyDescent="0.35">
      <c r="A12" s="12"/>
      <c r="B12" s="12"/>
      <c r="C12" s="12" t="str">
        <f>E12</f>
        <v>A-TROPHY</v>
      </c>
      <c r="D12" s="31"/>
      <c r="E12" s="32" t="str">
        <f>"A-TROPHY"</f>
        <v>A-TROPHY</v>
      </c>
      <c r="F12" s="33"/>
      <c r="G12" s="33"/>
      <c r="H12" s="33"/>
      <c r="I12" s="34"/>
      <c r="J12" s="31"/>
      <c r="K12" s="31"/>
      <c r="L12" s="35"/>
      <c r="N12" s="36"/>
      <c r="O12" s="33"/>
      <c r="P12" s="33"/>
      <c r="Q12" s="37"/>
      <c r="S12" s="64"/>
      <c r="T12" s="65"/>
      <c r="U12" s="66"/>
      <c r="W12" s="67"/>
      <c r="X12" s="66"/>
    </row>
    <row r="13" spans="1:24" ht="20.25" customHeight="1" x14ac:dyDescent="0.35">
      <c r="A13" s="12"/>
      <c r="B13" s="12"/>
      <c r="C13" s="12" t="str">
        <f>C12</f>
        <v>A-TROPHY</v>
      </c>
      <c r="D13" s="31"/>
      <c r="E13" s="38"/>
      <c r="F13" s="39" t="str">
        <f>"S200001"</f>
        <v>S200001</v>
      </c>
      <c r="G13" s="40" t="str">
        <f>"3.25"" Lamp of Knowledge Trophy"</f>
        <v>3.25" Lamp of Knowledge Trophy</v>
      </c>
      <c r="H13" s="41">
        <v>7.01</v>
      </c>
      <c r="I13" s="42">
        <v>24</v>
      </c>
      <c r="J13" s="43">
        <v>235.2</v>
      </c>
      <c r="K13" s="43">
        <f>J13-(I13*H13)</f>
        <v>66.95999999999998</v>
      </c>
      <c r="L13" s="44">
        <f>IF(J13=0,0,K13/J13)</f>
        <v>0.28469387755102032</v>
      </c>
      <c r="M13" s="45"/>
      <c r="N13" s="42">
        <v>144</v>
      </c>
      <c r="O13" s="43">
        <v>1411.2</v>
      </c>
      <c r="P13" s="43">
        <f>O13-(N13*$H13)</f>
        <v>401.7600000000001</v>
      </c>
      <c r="Q13" s="44">
        <f>IF(O13=0,0,P13/O13)</f>
        <v>0.28469387755102049</v>
      </c>
      <c r="S13" s="68">
        <f>I13-N13</f>
        <v>-120</v>
      </c>
      <c r="T13" s="46">
        <f>J13-O13</f>
        <v>-1176</v>
      </c>
      <c r="U13" s="69">
        <f>K13-P13</f>
        <v>-334.80000000000013</v>
      </c>
      <c r="W13" s="70">
        <f>L13-Q13</f>
        <v>0</v>
      </c>
      <c r="X13" s="71">
        <f>W13</f>
        <v>0</v>
      </c>
    </row>
    <row r="14" spans="1:24" ht="20.25" customHeight="1" x14ac:dyDescent="0.35">
      <c r="A14" s="12" t="s">
        <v>26</v>
      </c>
      <c r="B14" s="12"/>
      <c r="C14" s="12" t="str">
        <f>C13</f>
        <v>A-TROPHY</v>
      </c>
      <c r="D14" s="31"/>
      <c r="E14" s="38"/>
      <c r="F14" s="39" t="str">
        <f>"S200002"</f>
        <v>S200002</v>
      </c>
      <c r="G14" s="40" t="str">
        <f>"3.25"" Apple Trophy "</f>
        <v xml:space="preserve">3.25" Apple Trophy </v>
      </c>
      <c r="H14" s="41">
        <v>8.06</v>
      </c>
      <c r="I14" s="42">
        <v>0</v>
      </c>
      <c r="J14" s="43">
        <v>0</v>
      </c>
      <c r="K14" s="43">
        <f>J14-(I14*H14)</f>
        <v>0</v>
      </c>
      <c r="L14" s="44">
        <f>IF(J14=0,0,K14/J14)</f>
        <v>0</v>
      </c>
      <c r="M14" s="45"/>
      <c r="N14" s="42">
        <v>144</v>
      </c>
      <c r="O14" s="43">
        <v>1396.8</v>
      </c>
      <c r="P14" s="43">
        <f t="shared" ref="P14:P23" si="0">O14-(N14*$H14)</f>
        <v>236.15999999999985</v>
      </c>
      <c r="Q14" s="44">
        <f t="shared" ref="Q14:Q23" si="1">IF(O14=0,0,P14/O14)</f>
        <v>0.16907216494845351</v>
      </c>
      <c r="S14" s="68">
        <f t="shared" ref="S14:S23" si="2">I14-N14</f>
        <v>-144</v>
      </c>
      <c r="T14" s="46">
        <f t="shared" ref="T14:T23" si="3">J14-O14</f>
        <v>-1396.8</v>
      </c>
      <c r="U14" s="69">
        <f t="shared" ref="U14:U23" si="4">K14-P14</f>
        <v>-236.15999999999985</v>
      </c>
      <c r="W14" s="70">
        <f t="shared" ref="W14:W23" si="5">L14-Q14</f>
        <v>-0.16907216494845351</v>
      </c>
      <c r="X14" s="71">
        <f t="shared" ref="X14:X23" si="6">W14</f>
        <v>-0.16907216494845351</v>
      </c>
    </row>
    <row r="15" spans="1:24" ht="20.25" customHeight="1" x14ac:dyDescent="0.35">
      <c r="A15" s="12" t="s">
        <v>26</v>
      </c>
      <c r="B15" s="12"/>
      <c r="C15" s="12" t="str">
        <f>C14</f>
        <v>A-TROPHY</v>
      </c>
      <c r="D15" s="31"/>
      <c r="E15" s="38"/>
      <c r="F15" s="39" t="str">
        <f>"S200003"</f>
        <v>S200003</v>
      </c>
      <c r="G15" s="40" t="str">
        <f>"5"" Male Graduate Trophy"</f>
        <v>5" Male Graduate Trophy</v>
      </c>
      <c r="H15" s="41">
        <v>6.56</v>
      </c>
      <c r="I15" s="42">
        <v>0</v>
      </c>
      <c r="J15" s="43">
        <v>0</v>
      </c>
      <c r="K15" s="43">
        <f>J15-(I15*H15)</f>
        <v>0</v>
      </c>
      <c r="L15" s="44">
        <f>IF(J15=0,0,K15/J15)</f>
        <v>0</v>
      </c>
      <c r="M15" s="45"/>
      <c r="N15" s="42">
        <v>72</v>
      </c>
      <c r="O15" s="43">
        <v>529.20000000000005</v>
      </c>
      <c r="P15" s="43">
        <f t="shared" si="0"/>
        <v>56.880000000000052</v>
      </c>
      <c r="Q15" s="44">
        <f t="shared" si="1"/>
        <v>0.107482993197279</v>
      </c>
      <c r="S15" s="68">
        <f t="shared" si="2"/>
        <v>-72</v>
      </c>
      <c r="T15" s="46">
        <f t="shared" si="3"/>
        <v>-529.20000000000005</v>
      </c>
      <c r="U15" s="69">
        <f t="shared" si="4"/>
        <v>-56.880000000000052</v>
      </c>
      <c r="W15" s="70">
        <f t="shared" si="5"/>
        <v>-0.107482993197279</v>
      </c>
      <c r="X15" s="71">
        <f t="shared" si="6"/>
        <v>-0.107482993197279</v>
      </c>
    </row>
    <row r="16" spans="1:24" ht="20.25" customHeight="1" x14ac:dyDescent="0.35">
      <c r="A16" s="12" t="s">
        <v>26</v>
      </c>
      <c r="B16" s="12"/>
      <c r="C16" s="12" t="str">
        <f>C15</f>
        <v>A-TROPHY</v>
      </c>
      <c r="D16" s="31"/>
      <c r="E16" s="38"/>
      <c r="F16" s="39" t="str">
        <f>"S200004"</f>
        <v>S200004</v>
      </c>
      <c r="G16" s="40" t="str">
        <f>"5"" Female Graduate Trophy"</f>
        <v>5" Female Graduate Trophy</v>
      </c>
      <c r="H16" s="41">
        <v>6.56</v>
      </c>
      <c r="I16" s="42">
        <v>337</v>
      </c>
      <c r="J16" s="43">
        <v>2476.9499999999998</v>
      </c>
      <c r="K16" s="43">
        <f>J16-(I16*H16)</f>
        <v>266.23</v>
      </c>
      <c r="L16" s="44">
        <f>IF(J16=0,0,K16/J16)</f>
        <v>0.10748299319727893</v>
      </c>
      <c r="M16" s="45"/>
      <c r="N16" s="42">
        <v>12</v>
      </c>
      <c r="O16" s="43">
        <v>88.2</v>
      </c>
      <c r="P16" s="43">
        <f t="shared" si="0"/>
        <v>9.480000000000004</v>
      </c>
      <c r="Q16" s="44">
        <f t="shared" si="1"/>
        <v>0.10748299319727896</v>
      </c>
      <c r="S16" s="68">
        <f t="shared" si="2"/>
        <v>325</v>
      </c>
      <c r="T16" s="46">
        <f t="shared" si="3"/>
        <v>2388.75</v>
      </c>
      <c r="U16" s="69">
        <f t="shared" si="4"/>
        <v>256.75</v>
      </c>
      <c r="W16" s="70">
        <f t="shared" si="5"/>
        <v>0</v>
      </c>
      <c r="X16" s="71">
        <f t="shared" si="6"/>
        <v>0</v>
      </c>
    </row>
    <row r="17" spans="1:24" ht="20.25" customHeight="1" x14ac:dyDescent="0.35">
      <c r="A17" s="12" t="s">
        <v>26</v>
      </c>
      <c r="B17" s="12"/>
      <c r="C17" s="12" t="str">
        <f>C16</f>
        <v>A-TROPHY</v>
      </c>
      <c r="D17" s="31"/>
      <c r="E17" s="38"/>
      <c r="F17" s="39" t="str">
        <f>"S200005"</f>
        <v>S200005</v>
      </c>
      <c r="G17" s="40" t="str">
        <f>"4.75"" Spelling B Trophy"</f>
        <v>4.75" Spelling B Trophy</v>
      </c>
      <c r="H17" s="41">
        <v>7.03</v>
      </c>
      <c r="I17" s="42">
        <v>6</v>
      </c>
      <c r="J17" s="43">
        <v>58.8</v>
      </c>
      <c r="K17" s="43">
        <f>J17-(I17*H17)</f>
        <v>16.619999999999997</v>
      </c>
      <c r="L17" s="44">
        <f>IF(J17=0,0,K17/J17)</f>
        <v>0.28265306122448974</v>
      </c>
      <c r="M17" s="45"/>
      <c r="N17" s="42">
        <v>0</v>
      </c>
      <c r="O17" s="43">
        <v>0</v>
      </c>
      <c r="P17" s="43">
        <f t="shared" si="0"/>
        <v>0</v>
      </c>
      <c r="Q17" s="44">
        <f t="shared" si="1"/>
        <v>0</v>
      </c>
      <c r="S17" s="68">
        <f t="shared" si="2"/>
        <v>6</v>
      </c>
      <c r="T17" s="46">
        <f t="shared" si="3"/>
        <v>58.8</v>
      </c>
      <c r="U17" s="69">
        <f t="shared" si="4"/>
        <v>16.619999999999997</v>
      </c>
      <c r="W17" s="70">
        <f t="shared" si="5"/>
        <v>0.28265306122448974</v>
      </c>
      <c r="X17" s="71">
        <f t="shared" si="6"/>
        <v>0.28265306122448974</v>
      </c>
    </row>
    <row r="18" spans="1:24" ht="20.25" customHeight="1" x14ac:dyDescent="0.35">
      <c r="A18" s="12" t="s">
        <v>26</v>
      </c>
      <c r="B18" s="12"/>
      <c r="C18" s="12" t="str">
        <f>C17</f>
        <v>A-TROPHY</v>
      </c>
      <c r="D18" s="31"/>
      <c r="E18" s="38"/>
      <c r="F18" s="39" t="str">
        <f>"S200011"</f>
        <v>S200011</v>
      </c>
      <c r="G18" s="40" t="str">
        <f>"10.75"" Star Riser Lamp of Knowledge Trophy"</f>
        <v>10.75" Star Riser Lamp of Knowledge Trophy</v>
      </c>
      <c r="H18" s="41">
        <v>9.43</v>
      </c>
      <c r="I18" s="42">
        <v>0</v>
      </c>
      <c r="J18" s="43">
        <v>0</v>
      </c>
      <c r="K18" s="43">
        <f>J18-(I18*H18)</f>
        <v>0</v>
      </c>
      <c r="L18" s="44">
        <f>IF(J18=0,0,K18/J18)</f>
        <v>0</v>
      </c>
      <c r="M18" s="45"/>
      <c r="N18" s="42">
        <v>168</v>
      </c>
      <c r="O18" s="43">
        <v>2058</v>
      </c>
      <c r="P18" s="43">
        <f t="shared" si="0"/>
        <v>473.76</v>
      </c>
      <c r="Q18" s="44">
        <f t="shared" si="1"/>
        <v>0.23020408163265305</v>
      </c>
      <c r="S18" s="68">
        <f t="shared" si="2"/>
        <v>-168</v>
      </c>
      <c r="T18" s="46">
        <f t="shared" si="3"/>
        <v>-2058</v>
      </c>
      <c r="U18" s="69">
        <f t="shared" si="4"/>
        <v>-473.76</v>
      </c>
      <c r="W18" s="70">
        <f t="shared" si="5"/>
        <v>-0.23020408163265305</v>
      </c>
      <c r="X18" s="71">
        <f t="shared" si="6"/>
        <v>-0.23020408163265305</v>
      </c>
    </row>
    <row r="19" spans="1:24" ht="20.25" customHeight="1" x14ac:dyDescent="0.35">
      <c r="A19" s="12" t="s">
        <v>26</v>
      </c>
      <c r="B19" s="12"/>
      <c r="C19" s="12" t="str">
        <f>C18</f>
        <v>A-TROPHY</v>
      </c>
      <c r="D19" s="31"/>
      <c r="E19" s="38"/>
      <c r="F19" s="39" t="str">
        <f>"S200012"</f>
        <v>S200012</v>
      </c>
      <c r="G19" s="40" t="str">
        <f>"10.75"" Star Riser Apple Trophy"</f>
        <v>10.75" Star Riser Apple Trophy</v>
      </c>
      <c r="H19" s="41">
        <v>10.48</v>
      </c>
      <c r="I19" s="42">
        <v>480</v>
      </c>
      <c r="J19" s="43">
        <v>5826</v>
      </c>
      <c r="K19" s="43">
        <f>J19-(I19*H19)</f>
        <v>795.59999999999945</v>
      </c>
      <c r="L19" s="44">
        <f>IF(J19=0,0,K19/J19)</f>
        <v>0.13656024716786808</v>
      </c>
      <c r="M19" s="45"/>
      <c r="N19" s="42">
        <v>0</v>
      </c>
      <c r="O19" s="43">
        <v>0</v>
      </c>
      <c r="P19" s="43">
        <f t="shared" si="0"/>
        <v>0</v>
      </c>
      <c r="Q19" s="44">
        <f t="shared" si="1"/>
        <v>0</v>
      </c>
      <c r="S19" s="68">
        <f t="shared" si="2"/>
        <v>480</v>
      </c>
      <c r="T19" s="46">
        <f t="shared" si="3"/>
        <v>5826</v>
      </c>
      <c r="U19" s="69">
        <f t="shared" si="4"/>
        <v>795.59999999999945</v>
      </c>
      <c r="W19" s="70">
        <f t="shared" si="5"/>
        <v>0.13656024716786808</v>
      </c>
      <c r="X19" s="71">
        <f t="shared" si="6"/>
        <v>0.13656024716786808</v>
      </c>
    </row>
    <row r="20" spans="1:24" ht="20.25" customHeight="1" x14ac:dyDescent="0.35">
      <c r="A20" s="12" t="s">
        <v>26</v>
      </c>
      <c r="B20" s="12"/>
      <c r="C20" s="12" t="str">
        <f>C19</f>
        <v>A-TROPHY</v>
      </c>
      <c r="D20" s="31"/>
      <c r="E20" s="38"/>
      <c r="F20" s="39" t="str">
        <f>"S200018"</f>
        <v>S200018</v>
      </c>
      <c r="G20" s="40" t="str">
        <f>"10.75"" Tourch Riser Lamp of Knowledge Trophy"</f>
        <v>10.75" Tourch Riser Lamp of Knowledge Trophy</v>
      </c>
      <c r="H20" s="41">
        <v>9.7799999999999994</v>
      </c>
      <c r="I20" s="42">
        <v>168</v>
      </c>
      <c r="J20" s="43">
        <v>2058</v>
      </c>
      <c r="K20" s="43">
        <f>J20-(I20*H20)</f>
        <v>414.96000000000004</v>
      </c>
      <c r="L20" s="44">
        <f>IF(J20=0,0,K20/J20)</f>
        <v>0.20163265306122452</v>
      </c>
      <c r="M20" s="45"/>
      <c r="N20" s="42">
        <v>0</v>
      </c>
      <c r="O20" s="43">
        <v>0</v>
      </c>
      <c r="P20" s="43">
        <f t="shared" si="0"/>
        <v>0</v>
      </c>
      <c r="Q20" s="44">
        <f t="shared" si="1"/>
        <v>0</v>
      </c>
      <c r="S20" s="68">
        <f t="shared" si="2"/>
        <v>168</v>
      </c>
      <c r="T20" s="46">
        <f t="shared" si="3"/>
        <v>2058</v>
      </c>
      <c r="U20" s="69">
        <f t="shared" si="4"/>
        <v>414.96000000000004</v>
      </c>
      <c r="W20" s="70">
        <f t="shared" si="5"/>
        <v>0.20163265306122452</v>
      </c>
      <c r="X20" s="71">
        <f t="shared" si="6"/>
        <v>0.20163265306122452</v>
      </c>
    </row>
    <row r="21" spans="1:24" ht="20.25" customHeight="1" x14ac:dyDescent="0.35">
      <c r="A21" s="12" t="s">
        <v>26</v>
      </c>
      <c r="B21" s="12"/>
      <c r="C21" s="12" t="str">
        <f>C20</f>
        <v>A-TROPHY</v>
      </c>
      <c r="D21" s="31"/>
      <c r="E21" s="38"/>
      <c r="F21" s="39" t="str">
        <f>"S200019"</f>
        <v>S200019</v>
      </c>
      <c r="G21" s="40" t="str">
        <f>"10.75"" Tourch Riser Apple Trophy"</f>
        <v>10.75" Tourch Riser Apple Trophy</v>
      </c>
      <c r="H21" s="41">
        <v>10.83</v>
      </c>
      <c r="I21" s="42">
        <v>336</v>
      </c>
      <c r="J21" s="43">
        <v>4874.4000000000005</v>
      </c>
      <c r="K21" s="43">
        <f>J21-(I21*H21)</f>
        <v>1235.5200000000004</v>
      </c>
      <c r="L21" s="44">
        <f>IF(J21=0,0,K21/J21)</f>
        <v>0.25347119645494837</v>
      </c>
      <c r="M21" s="45"/>
      <c r="N21" s="42">
        <v>192</v>
      </c>
      <c r="O21" s="43">
        <v>2822.4</v>
      </c>
      <c r="P21" s="43">
        <f t="shared" si="0"/>
        <v>743.04</v>
      </c>
      <c r="Q21" s="44">
        <f t="shared" si="1"/>
        <v>0.26326530612244897</v>
      </c>
      <c r="S21" s="68">
        <f t="shared" si="2"/>
        <v>144</v>
      </c>
      <c r="T21" s="46">
        <f t="shared" si="3"/>
        <v>2052.0000000000005</v>
      </c>
      <c r="U21" s="69">
        <f t="shared" si="4"/>
        <v>492.48000000000047</v>
      </c>
      <c r="W21" s="70">
        <f t="shared" si="5"/>
        <v>-9.7941096675006056E-3</v>
      </c>
      <c r="X21" s="71">
        <f t="shared" si="6"/>
        <v>-9.7941096675006056E-3</v>
      </c>
    </row>
    <row r="22" spans="1:24" ht="20.25" customHeight="1" x14ac:dyDescent="0.35">
      <c r="A22" s="12" t="s">
        <v>26</v>
      </c>
      <c r="B22" s="12"/>
      <c r="C22" s="12" t="str">
        <f>C21</f>
        <v>A-TROPHY</v>
      </c>
      <c r="D22" s="31"/>
      <c r="E22" s="38"/>
      <c r="F22" s="39" t="str">
        <f>"S200025"</f>
        <v>S200025</v>
      </c>
      <c r="G22" s="40" t="str">
        <f>"10.75"" Column Lamp of Knowledge Trophy"</f>
        <v>10.75" Column Lamp of Knowledge Trophy</v>
      </c>
      <c r="H22" s="41">
        <v>8.15</v>
      </c>
      <c r="I22" s="42">
        <v>0</v>
      </c>
      <c r="J22" s="43">
        <v>0</v>
      </c>
      <c r="K22" s="43">
        <f>J22-(I22*H22)</f>
        <v>0</v>
      </c>
      <c r="L22" s="44">
        <f>IF(J22=0,0,K22/J22)</f>
        <v>0</v>
      </c>
      <c r="M22" s="45"/>
      <c r="N22" s="42">
        <v>12</v>
      </c>
      <c r="O22" s="43">
        <v>117.6</v>
      </c>
      <c r="P22" s="43">
        <f t="shared" si="0"/>
        <v>19.799999999999983</v>
      </c>
      <c r="Q22" s="44">
        <f t="shared" si="1"/>
        <v>0.16836734693877536</v>
      </c>
      <c r="S22" s="68">
        <f t="shared" si="2"/>
        <v>-12</v>
      </c>
      <c r="T22" s="46">
        <f t="shared" si="3"/>
        <v>-117.6</v>
      </c>
      <c r="U22" s="69">
        <f t="shared" si="4"/>
        <v>-19.799999999999983</v>
      </c>
      <c r="W22" s="70">
        <f t="shared" si="5"/>
        <v>-0.16836734693877536</v>
      </c>
      <c r="X22" s="71">
        <f t="shared" si="6"/>
        <v>-0.16836734693877536</v>
      </c>
    </row>
    <row r="23" spans="1:24" ht="20.25" customHeight="1" x14ac:dyDescent="0.35">
      <c r="A23" s="12" t="s">
        <v>26</v>
      </c>
      <c r="B23" s="12"/>
      <c r="C23" s="12" t="str">
        <f>C22</f>
        <v>A-TROPHY</v>
      </c>
      <c r="D23" s="31"/>
      <c r="E23" s="38"/>
      <c r="F23" s="39" t="str">
        <f>"S200026"</f>
        <v>S200026</v>
      </c>
      <c r="G23" s="40" t="str">
        <f>"10.75"" Column Apple Trophy"</f>
        <v>10.75" Column Apple Trophy</v>
      </c>
      <c r="H23" s="41">
        <v>11.3</v>
      </c>
      <c r="I23" s="42">
        <v>25</v>
      </c>
      <c r="J23" s="43">
        <v>367.5</v>
      </c>
      <c r="K23" s="43">
        <f>J23-(I23*H23)</f>
        <v>85</v>
      </c>
      <c r="L23" s="44">
        <f>IF(J23=0,0,K23/J23)</f>
        <v>0.23129251700680273</v>
      </c>
      <c r="M23" s="45"/>
      <c r="N23" s="42">
        <v>36</v>
      </c>
      <c r="O23" s="43">
        <v>529.20000000000005</v>
      </c>
      <c r="P23" s="43">
        <f t="shared" si="0"/>
        <v>122.40000000000003</v>
      </c>
      <c r="Q23" s="44">
        <f t="shared" si="1"/>
        <v>0.23129251700680276</v>
      </c>
      <c r="S23" s="68">
        <f t="shared" si="2"/>
        <v>-11</v>
      </c>
      <c r="T23" s="46">
        <f t="shared" si="3"/>
        <v>-161.70000000000005</v>
      </c>
      <c r="U23" s="69">
        <f t="shared" si="4"/>
        <v>-37.400000000000034</v>
      </c>
      <c r="W23" s="70">
        <f t="shared" si="5"/>
        <v>0</v>
      </c>
      <c r="X23" s="71">
        <f t="shared" si="6"/>
        <v>0</v>
      </c>
    </row>
    <row r="24" spans="1:24" ht="17.25" customHeight="1" x14ac:dyDescent="0.3">
      <c r="A24" s="12"/>
      <c r="B24" s="12"/>
      <c r="C24" s="12" t="str">
        <f>C13</f>
        <v>A-TROPHY</v>
      </c>
      <c r="D24" s="31"/>
      <c r="E24" s="38"/>
      <c r="F24" s="31"/>
      <c r="G24" s="31"/>
      <c r="H24" s="31"/>
      <c r="I24" s="42"/>
      <c r="J24" s="47"/>
      <c r="K24" s="47"/>
      <c r="L24" s="48"/>
      <c r="M24" s="45"/>
      <c r="N24" s="42"/>
      <c r="O24" s="47"/>
      <c r="P24" s="47"/>
      <c r="Q24" s="48"/>
      <c r="S24" s="68"/>
      <c r="T24" s="46"/>
      <c r="U24" s="69"/>
      <c r="W24" s="70"/>
      <c r="X24" s="71">
        <f>W24</f>
        <v>0</v>
      </c>
    </row>
    <row r="25" spans="1:24" s="49" customFormat="1" ht="20.25" customHeight="1" x14ac:dyDescent="0.35">
      <c r="A25" s="50"/>
      <c r="B25" s="12"/>
      <c r="C25" s="12" t="str">
        <f>C24</f>
        <v>A-TROPHY</v>
      </c>
      <c r="D25" s="31"/>
      <c r="E25" s="51"/>
      <c r="F25" s="52"/>
      <c r="G25" s="52"/>
      <c r="H25" s="53" t="str">
        <f>E12&amp;" Total"</f>
        <v>A-TROPHY Total</v>
      </c>
      <c r="I25" s="54">
        <f>SUBTOTAL(9,I13:I24)</f>
        <v>1376</v>
      </c>
      <c r="J25" s="55">
        <f>SUBTOTAL(9,J13:J24)</f>
        <v>15896.850000000002</v>
      </c>
      <c r="K25" s="55">
        <f>SUBTOTAL(9,K13:K24)</f>
        <v>2880.89</v>
      </c>
      <c r="L25" s="56">
        <f>IF(J25=0,0,K25/J25)</f>
        <v>0.18122395317311288</v>
      </c>
      <c r="M25" s="57"/>
      <c r="N25" s="54">
        <f>SUBTOTAL(9,N13:N24)</f>
        <v>780</v>
      </c>
      <c r="O25" s="55">
        <f>SUBTOTAL(9,O13:O24)</f>
        <v>8952.6</v>
      </c>
      <c r="P25" s="55">
        <f>SUM(P13:P24)</f>
        <v>2063.2799999999997</v>
      </c>
      <c r="Q25" s="56">
        <f>IF(O25=0,0,P25/O25)</f>
        <v>0.23046712686817233</v>
      </c>
      <c r="R25" s="58"/>
      <c r="S25" s="72">
        <f>SUBTOTAL(9,S13:S24)</f>
        <v>596</v>
      </c>
      <c r="T25" s="59">
        <f>SUBTOTAL(9,T13:T24)</f>
        <v>6944.2500000000009</v>
      </c>
      <c r="U25" s="73">
        <f>SUBTOTAL(9,U13:U24)</f>
        <v>817.6099999999999</v>
      </c>
      <c r="V25" s="58"/>
      <c r="W25" s="74">
        <f>L25-Q25</f>
        <v>-4.9243173695059456E-2</v>
      </c>
      <c r="X25" s="71">
        <f>W25</f>
        <v>-4.9243173695059456E-2</v>
      </c>
    </row>
    <row r="26" spans="1:24" s="49" customFormat="1" ht="20.25" customHeight="1" x14ac:dyDescent="0.35">
      <c r="A26" s="50"/>
      <c r="B26" s="12"/>
      <c r="C26" s="12" t="str">
        <f>C25</f>
        <v>A-TROPHY</v>
      </c>
      <c r="D26" s="31"/>
      <c r="E26" s="101"/>
      <c r="F26" s="102"/>
      <c r="G26" s="102"/>
      <c r="H26" s="103"/>
      <c r="I26" s="104"/>
      <c r="J26" s="105"/>
      <c r="K26" s="105"/>
      <c r="L26" s="106"/>
      <c r="M26" s="57"/>
      <c r="N26" s="104"/>
      <c r="O26" s="105"/>
      <c r="P26" s="105"/>
      <c r="Q26" s="106"/>
      <c r="R26" s="58"/>
      <c r="S26" s="107"/>
      <c r="T26" s="108"/>
      <c r="U26" s="109"/>
      <c r="V26" s="58"/>
      <c r="W26" s="110"/>
      <c r="X26" s="75"/>
    </row>
    <row r="27" spans="1:24" ht="20.25" customHeight="1" x14ac:dyDescent="0.35">
      <c r="A27" s="12" t="s">
        <v>26</v>
      </c>
      <c r="B27" s="12"/>
      <c r="C27" s="12" t="str">
        <f>E27</f>
        <v>BALL CAP</v>
      </c>
      <c r="D27" s="31"/>
      <c r="E27" s="32" t="str">
        <f>"BALL CAP"</f>
        <v>BALL CAP</v>
      </c>
      <c r="F27" s="33"/>
      <c r="G27" s="33"/>
      <c r="H27" s="33"/>
      <c r="I27" s="34"/>
      <c r="J27" s="31"/>
      <c r="K27" s="31"/>
      <c r="L27" s="35"/>
      <c r="N27" s="36"/>
      <c r="O27" s="33"/>
      <c r="P27" s="33"/>
      <c r="Q27" s="37"/>
      <c r="S27" s="64"/>
      <c r="T27" s="65"/>
      <c r="U27" s="66"/>
      <c r="W27" s="67"/>
      <c r="X27" s="66"/>
    </row>
    <row r="28" spans="1:24" ht="20.25" customHeight="1" x14ac:dyDescent="0.35">
      <c r="A28" s="12" t="s">
        <v>26</v>
      </c>
      <c r="B28" s="12"/>
      <c r="C28" s="12" t="str">
        <f>C27</f>
        <v>BALL CAP</v>
      </c>
      <c r="D28" s="31"/>
      <c r="E28" s="38"/>
      <c r="F28" s="39" t="str">
        <f>"C100022"</f>
        <v>C100022</v>
      </c>
      <c r="G28" s="40" t="str">
        <f>"Two-Toned Cap"</f>
        <v>Two-Toned Cap</v>
      </c>
      <c r="H28" s="41">
        <v>1.61</v>
      </c>
      <c r="I28" s="42">
        <v>1839</v>
      </c>
      <c r="J28" s="43">
        <v>5630.31</v>
      </c>
      <c r="K28" s="43">
        <f>J28-(I28*H28)</f>
        <v>2669.5200000000004</v>
      </c>
      <c r="L28" s="44">
        <f>IF(J28=0,0,K28/J28)</f>
        <v>0.47413375107232109</v>
      </c>
      <c r="M28" s="45"/>
      <c r="N28" s="42">
        <v>277</v>
      </c>
      <c r="O28" s="43">
        <v>870.18</v>
      </c>
      <c r="P28" s="43">
        <f t="shared" ref="P28" si="7">O28-(N28*$H28)</f>
        <v>424.20999999999992</v>
      </c>
      <c r="Q28" s="44">
        <f t="shared" ref="Q28" si="8">IF(O28=0,0,P28/O28)</f>
        <v>0.4874968397343078</v>
      </c>
      <c r="S28" s="68">
        <f t="shared" ref="S28" si="9">I28-N28</f>
        <v>1562</v>
      </c>
      <c r="T28" s="46">
        <f t="shared" ref="T28" si="10">J28-O28</f>
        <v>4760.13</v>
      </c>
      <c r="U28" s="69">
        <f t="shared" ref="U28" si="11">K28-P28</f>
        <v>2245.3100000000004</v>
      </c>
      <c r="W28" s="70">
        <f t="shared" ref="W28" si="12">L28-Q28</f>
        <v>-1.3363088661986711E-2</v>
      </c>
      <c r="X28" s="71">
        <f t="shared" ref="X28:X34" si="13">W28</f>
        <v>-1.3363088661986711E-2</v>
      </c>
    </row>
    <row r="29" spans="1:24" ht="20.25" customHeight="1" x14ac:dyDescent="0.35">
      <c r="A29" s="12" t="s">
        <v>26</v>
      </c>
      <c r="B29" s="12"/>
      <c r="C29" s="12" t="str">
        <f>C28</f>
        <v>BALL CAP</v>
      </c>
      <c r="D29" s="31"/>
      <c r="E29" s="38"/>
      <c r="F29" s="39" t="str">
        <f>"S100010"</f>
        <v>S100010</v>
      </c>
      <c r="G29" s="40" t="str">
        <f>"Golf Relaxed Cap"</f>
        <v>Golf Relaxed Cap</v>
      </c>
      <c r="H29" s="41">
        <v>6.0895999999999999</v>
      </c>
      <c r="I29" s="42">
        <v>1706</v>
      </c>
      <c r="J29" s="43">
        <v>16719.66</v>
      </c>
      <c r="K29" s="43">
        <f>J29-(I29*H29)</f>
        <v>6330.8024000000005</v>
      </c>
      <c r="L29" s="44">
        <f>IF(J29=0,0,K29/J29)</f>
        <v>0.37864420687980499</v>
      </c>
      <c r="M29" s="45"/>
      <c r="N29" s="42">
        <v>530</v>
      </c>
      <c r="O29" s="43">
        <v>5245.74</v>
      </c>
      <c r="P29" s="43">
        <f t="shared" ref="P29:P32" si="14">O29-(N29*$H29)</f>
        <v>2018.252</v>
      </c>
      <c r="Q29" s="44">
        <f t="shared" ref="Q29:Q32" si="15">IF(O29=0,0,P29/O29)</f>
        <v>0.38474114233644824</v>
      </c>
      <c r="S29" s="68">
        <f t="shared" ref="S29:S32" si="16">I29-N29</f>
        <v>1176</v>
      </c>
      <c r="T29" s="46">
        <f t="shared" ref="T29:T32" si="17">J29-O29</f>
        <v>11473.92</v>
      </c>
      <c r="U29" s="69">
        <f t="shared" ref="U29:U32" si="18">K29-P29</f>
        <v>4312.5504000000001</v>
      </c>
      <c r="W29" s="70">
        <f t="shared" ref="W29:W32" si="19">L29-Q29</f>
        <v>-6.0969354566432488E-3</v>
      </c>
      <c r="X29" s="71">
        <f t="shared" si="13"/>
        <v>-6.0969354566432488E-3</v>
      </c>
    </row>
    <row r="30" spans="1:24" ht="20.25" customHeight="1" x14ac:dyDescent="0.35">
      <c r="A30" s="12" t="s">
        <v>26</v>
      </c>
      <c r="B30" s="12"/>
      <c r="C30" s="12" t="str">
        <f>C29</f>
        <v>BALL CAP</v>
      </c>
      <c r="D30" s="31"/>
      <c r="E30" s="38"/>
      <c r="F30" s="39" t="str">
        <f>"S100011"</f>
        <v>S100011</v>
      </c>
      <c r="G30" s="40" t="str">
        <f>"All Star Cap"</f>
        <v>All Star Cap</v>
      </c>
      <c r="H30" s="41">
        <v>0.85</v>
      </c>
      <c r="I30" s="42">
        <v>1299</v>
      </c>
      <c r="J30" s="43">
        <v>1816.6999999999998</v>
      </c>
      <c r="K30" s="43">
        <f>J30-(I30*H30)</f>
        <v>712.55</v>
      </c>
      <c r="L30" s="44">
        <f>IF(J30=0,0,K30/J30)</f>
        <v>0.39222216106126495</v>
      </c>
      <c r="M30" s="45"/>
      <c r="N30" s="42">
        <v>1601.0000000000002</v>
      </c>
      <c r="O30" s="43">
        <v>2260.54</v>
      </c>
      <c r="P30" s="43">
        <f t="shared" si="14"/>
        <v>899.68999999999983</v>
      </c>
      <c r="Q30" s="44">
        <f t="shared" si="15"/>
        <v>0.39799782352889124</v>
      </c>
      <c r="S30" s="68">
        <f t="shared" si="16"/>
        <v>-302.00000000000023</v>
      </c>
      <c r="T30" s="46">
        <f t="shared" si="17"/>
        <v>-443.84000000000015</v>
      </c>
      <c r="U30" s="69">
        <f t="shared" si="18"/>
        <v>-187.13999999999987</v>
      </c>
      <c r="W30" s="70">
        <f t="shared" si="19"/>
        <v>-5.7756624676262858E-3</v>
      </c>
      <c r="X30" s="71">
        <f t="shared" si="13"/>
        <v>-5.7756624676262858E-3</v>
      </c>
    </row>
    <row r="31" spans="1:24" ht="20.25" customHeight="1" x14ac:dyDescent="0.35">
      <c r="A31" s="12" t="s">
        <v>26</v>
      </c>
      <c r="B31" s="12"/>
      <c r="C31" s="12" t="str">
        <f>C30</f>
        <v>BALL CAP</v>
      </c>
      <c r="D31" s="31"/>
      <c r="E31" s="38"/>
      <c r="F31" s="39" t="str">
        <f>"S100012"</f>
        <v>S100012</v>
      </c>
      <c r="G31" s="40" t="str">
        <f>"Raw-Edge Patch BALL CAP"</f>
        <v>Raw-Edge Patch BALL CAP</v>
      </c>
      <c r="H31" s="41">
        <v>5.61</v>
      </c>
      <c r="I31" s="42">
        <v>721</v>
      </c>
      <c r="J31" s="43">
        <v>7188.5499999999993</v>
      </c>
      <c r="K31" s="43">
        <f>J31-(I31*H31)</f>
        <v>3143.7399999999989</v>
      </c>
      <c r="L31" s="44">
        <f>IF(J31=0,0,K31/J31)</f>
        <v>0.43732602541541749</v>
      </c>
      <c r="M31" s="45"/>
      <c r="N31" s="42">
        <v>1089</v>
      </c>
      <c r="O31" s="43">
        <v>10960.77</v>
      </c>
      <c r="P31" s="43">
        <f t="shared" si="14"/>
        <v>4851.4800000000005</v>
      </c>
      <c r="Q31" s="44">
        <f t="shared" si="15"/>
        <v>0.44262218803970893</v>
      </c>
      <c r="S31" s="68">
        <f t="shared" si="16"/>
        <v>-368</v>
      </c>
      <c r="T31" s="46">
        <f t="shared" si="17"/>
        <v>-3772.2200000000012</v>
      </c>
      <c r="U31" s="69">
        <f t="shared" si="18"/>
        <v>-1707.7400000000016</v>
      </c>
      <c r="W31" s="70">
        <f t="shared" si="19"/>
        <v>-5.296162624291445E-3</v>
      </c>
      <c r="X31" s="71">
        <f t="shared" si="13"/>
        <v>-5.296162624291445E-3</v>
      </c>
    </row>
    <row r="32" spans="1:24" ht="20.25" customHeight="1" x14ac:dyDescent="0.35">
      <c r="A32" s="12" t="s">
        <v>26</v>
      </c>
      <c r="B32" s="12"/>
      <c r="C32" s="12" t="str">
        <f>C31</f>
        <v>BALL CAP</v>
      </c>
      <c r="D32" s="31"/>
      <c r="E32" s="38"/>
      <c r="F32" s="39" t="str">
        <f>"S100013"</f>
        <v>S100013</v>
      </c>
      <c r="G32" s="40" t="str">
        <f>"Mesh BALL CAP"</f>
        <v>Mesh BALL CAP</v>
      </c>
      <c r="H32" s="41">
        <v>3.44</v>
      </c>
      <c r="I32" s="42">
        <v>775.99999999999989</v>
      </c>
      <c r="J32" s="43">
        <v>4856.8</v>
      </c>
      <c r="K32" s="43">
        <f>J32-(I32*H32)</f>
        <v>2187.3600000000006</v>
      </c>
      <c r="L32" s="44">
        <f>IF(J32=0,0,K32/J32)</f>
        <v>0.45037061439631043</v>
      </c>
      <c r="M32" s="45"/>
      <c r="N32" s="42">
        <v>486</v>
      </c>
      <c r="O32" s="43">
        <v>3111.7</v>
      </c>
      <c r="P32" s="43">
        <f t="shared" si="14"/>
        <v>1439.86</v>
      </c>
      <c r="Q32" s="44">
        <f t="shared" si="15"/>
        <v>0.46272455570909793</v>
      </c>
      <c r="S32" s="68">
        <f t="shared" si="16"/>
        <v>289.99999999999989</v>
      </c>
      <c r="T32" s="46">
        <f t="shared" si="17"/>
        <v>1745.1000000000004</v>
      </c>
      <c r="U32" s="69">
        <f t="shared" si="18"/>
        <v>747.50000000000068</v>
      </c>
      <c r="W32" s="70">
        <f t="shared" si="19"/>
        <v>-1.2353941312787498E-2</v>
      </c>
      <c r="X32" s="71">
        <f t="shared" si="13"/>
        <v>-1.2353941312787498E-2</v>
      </c>
    </row>
    <row r="33" spans="1:24" ht="17.25" customHeight="1" x14ac:dyDescent="0.3">
      <c r="A33" s="12" t="s">
        <v>26</v>
      </c>
      <c r="B33" s="12"/>
      <c r="C33" s="12" t="str">
        <f>C28</f>
        <v>BALL CAP</v>
      </c>
      <c r="D33" s="31"/>
      <c r="E33" s="38"/>
      <c r="F33" s="31"/>
      <c r="G33" s="31"/>
      <c r="H33" s="31"/>
      <c r="I33" s="42"/>
      <c r="J33" s="47"/>
      <c r="K33" s="47"/>
      <c r="L33" s="48"/>
      <c r="M33" s="45"/>
      <c r="N33" s="42"/>
      <c r="O33" s="47"/>
      <c r="P33" s="47"/>
      <c r="Q33" s="48"/>
      <c r="S33" s="68"/>
      <c r="T33" s="46"/>
      <c r="U33" s="69"/>
      <c r="W33" s="70"/>
      <c r="X33" s="71">
        <f t="shared" si="13"/>
        <v>0</v>
      </c>
    </row>
    <row r="34" spans="1:24" s="49" customFormat="1" ht="20.25" customHeight="1" x14ac:dyDescent="0.35">
      <c r="A34" s="50" t="s">
        <v>26</v>
      </c>
      <c r="B34" s="12"/>
      <c r="C34" s="12" t="str">
        <f>C33</f>
        <v>BALL CAP</v>
      </c>
      <c r="D34" s="31"/>
      <c r="E34" s="51"/>
      <c r="F34" s="52"/>
      <c r="G34" s="52"/>
      <c r="H34" s="53" t="str">
        <f>E27&amp;" Total"</f>
        <v>BALL CAP Total</v>
      </c>
      <c r="I34" s="54">
        <f>SUBTOTAL(9,I28:I33)</f>
        <v>6341</v>
      </c>
      <c r="J34" s="55">
        <f>SUBTOTAL(9,J28:J33)</f>
        <v>36212.020000000004</v>
      </c>
      <c r="K34" s="55">
        <f>SUBTOTAL(9,K28:K33)</f>
        <v>15043.972399999999</v>
      </c>
      <c r="L34" s="56">
        <f>IF(J34=0,0,K34/J34)</f>
        <v>0.41544140315839873</v>
      </c>
      <c r="M34" s="57"/>
      <c r="N34" s="54">
        <f>SUBTOTAL(9,N28:N33)</f>
        <v>3983</v>
      </c>
      <c r="O34" s="55">
        <f>SUBTOTAL(9,O28:O33)</f>
        <v>22448.93</v>
      </c>
      <c r="P34" s="55">
        <f t="shared" ref="P34" si="20">SUM(P28:P33)</f>
        <v>9633.492000000002</v>
      </c>
      <c r="Q34" s="56">
        <f t="shared" ref="Q34" si="21">IF(O34=0,0,P34/O34)</f>
        <v>0.42912922798547642</v>
      </c>
      <c r="R34" s="58"/>
      <c r="S34" s="72">
        <f t="shared" ref="S34:U34" si="22">SUBTOTAL(9,S28:S33)</f>
        <v>2358</v>
      </c>
      <c r="T34" s="59">
        <f t="shared" si="22"/>
        <v>13763.089999999998</v>
      </c>
      <c r="U34" s="73">
        <f t="shared" si="22"/>
        <v>5410.4803999999995</v>
      </c>
      <c r="V34" s="58"/>
      <c r="W34" s="74">
        <f t="shared" ref="W34" si="23">L34-Q34</f>
        <v>-1.3687824827077699E-2</v>
      </c>
      <c r="X34" s="71">
        <f t="shared" si="13"/>
        <v>-1.3687824827077699E-2</v>
      </c>
    </row>
    <row r="35" spans="1:24" s="49" customFormat="1" ht="20.25" customHeight="1" x14ac:dyDescent="0.35">
      <c r="A35" s="50" t="s">
        <v>26</v>
      </c>
      <c r="B35" s="12"/>
      <c r="C35" s="12" t="str">
        <f>C34</f>
        <v>BALL CAP</v>
      </c>
      <c r="D35" s="31"/>
      <c r="E35" s="101"/>
      <c r="F35" s="102"/>
      <c r="G35" s="102"/>
      <c r="H35" s="103"/>
      <c r="I35" s="104"/>
      <c r="J35" s="105"/>
      <c r="K35" s="105"/>
      <c r="L35" s="106"/>
      <c r="M35" s="57"/>
      <c r="N35" s="104"/>
      <c r="O35" s="105"/>
      <c r="P35" s="105"/>
      <c r="Q35" s="106"/>
      <c r="R35" s="58"/>
      <c r="S35" s="107"/>
      <c r="T35" s="108"/>
      <c r="U35" s="109"/>
      <c r="V35" s="58"/>
      <c r="W35" s="110"/>
      <c r="X35" s="75"/>
    </row>
    <row r="36" spans="1:24" ht="20.25" customHeight="1" x14ac:dyDescent="0.35">
      <c r="A36" s="12" t="s">
        <v>26</v>
      </c>
      <c r="B36" s="12"/>
      <c r="C36" s="12" t="str">
        <f>E36</f>
        <v>BUCKET HAT</v>
      </c>
      <c r="D36" s="31"/>
      <c r="E36" s="32" t="str">
        <f>"BUCKET HAT"</f>
        <v>BUCKET HAT</v>
      </c>
      <c r="F36" s="33"/>
      <c r="G36" s="33"/>
      <c r="H36" s="33"/>
      <c r="I36" s="34"/>
      <c r="J36" s="31"/>
      <c r="K36" s="31"/>
      <c r="L36" s="35"/>
      <c r="N36" s="36"/>
      <c r="O36" s="33"/>
      <c r="P36" s="33"/>
      <c r="Q36" s="37"/>
      <c r="S36" s="64"/>
      <c r="T36" s="65"/>
      <c r="U36" s="66"/>
      <c r="W36" s="67"/>
      <c r="X36" s="66"/>
    </row>
    <row r="37" spans="1:24" ht="20.25" customHeight="1" x14ac:dyDescent="0.35">
      <c r="A37" s="12" t="s">
        <v>26</v>
      </c>
      <c r="B37" s="12"/>
      <c r="C37" s="12" t="str">
        <f>C36</f>
        <v>BUCKET HAT</v>
      </c>
      <c r="D37" s="31"/>
      <c r="E37" s="38"/>
      <c r="F37" s="39" t="str">
        <f>"S100015"</f>
        <v>S100015</v>
      </c>
      <c r="G37" s="40" t="str">
        <f>"Raw-Edge Bucket Hat"</f>
        <v>Raw-Edge Bucket Hat</v>
      </c>
      <c r="H37" s="41">
        <v>3.64</v>
      </c>
      <c r="I37" s="42">
        <v>890.00000000000011</v>
      </c>
      <c r="J37" s="43">
        <v>6390.0199999999995</v>
      </c>
      <c r="K37" s="43">
        <f>J37-(I37*H37)</f>
        <v>3150.4199999999992</v>
      </c>
      <c r="L37" s="44">
        <f>IF(J37=0,0,K37/J37)</f>
        <v>0.49302193107376807</v>
      </c>
      <c r="M37" s="45"/>
      <c r="N37" s="42">
        <v>1411</v>
      </c>
      <c r="O37" s="43">
        <v>10044.94</v>
      </c>
      <c r="P37" s="43">
        <f t="shared" ref="P37" si="24">O37-(N37*$H37)</f>
        <v>4908.9000000000005</v>
      </c>
      <c r="Q37" s="44">
        <f t="shared" ref="Q37" si="25">IF(O37=0,0,P37/O37)</f>
        <v>0.48869381001778012</v>
      </c>
      <c r="S37" s="68">
        <f t="shared" ref="S37" si="26">I37-N37</f>
        <v>-520.99999999999989</v>
      </c>
      <c r="T37" s="46">
        <f t="shared" ref="T37" si="27">J37-O37</f>
        <v>-3654.920000000001</v>
      </c>
      <c r="U37" s="69">
        <f t="shared" ref="U37" si="28">K37-P37</f>
        <v>-1758.4800000000014</v>
      </c>
      <c r="W37" s="70">
        <f t="shared" ref="W37" si="29">L37-Q37</f>
        <v>4.3281210559879546E-3</v>
      </c>
      <c r="X37" s="71">
        <f t="shared" ref="X37:X43" si="30">W37</f>
        <v>4.3281210559879546E-3</v>
      </c>
    </row>
    <row r="38" spans="1:24" ht="20.25" customHeight="1" x14ac:dyDescent="0.35">
      <c r="A38" s="12" t="s">
        <v>26</v>
      </c>
      <c r="B38" s="12"/>
      <c r="C38" s="12" t="str">
        <f>C37</f>
        <v>BUCKET HAT</v>
      </c>
      <c r="D38" s="31"/>
      <c r="E38" s="38"/>
      <c r="F38" s="39" t="str">
        <f>"S100016"</f>
        <v>S100016</v>
      </c>
      <c r="G38" s="40" t="str">
        <f>"Mesh Bucket Hat"</f>
        <v>Mesh Bucket Hat</v>
      </c>
      <c r="H38" s="41">
        <v>2.75</v>
      </c>
      <c r="I38" s="42">
        <v>2378</v>
      </c>
      <c r="J38" s="43">
        <v>11361.55</v>
      </c>
      <c r="K38" s="43">
        <f>J38-(I38*H38)</f>
        <v>4822.0499999999993</v>
      </c>
      <c r="L38" s="44">
        <f>IF(J38=0,0,K38/J38)</f>
        <v>0.42441832320414025</v>
      </c>
      <c r="M38" s="45"/>
      <c r="N38" s="42">
        <v>1153</v>
      </c>
      <c r="O38" s="43">
        <v>5576.87</v>
      </c>
      <c r="P38" s="43">
        <f t="shared" ref="P38:P41" si="31">O38-(N38*$H38)</f>
        <v>2406.12</v>
      </c>
      <c r="Q38" s="44">
        <f t="shared" ref="Q38:Q41" si="32">IF(O38=0,0,P38/O38)</f>
        <v>0.43144631307525544</v>
      </c>
      <c r="S38" s="68">
        <f t="shared" ref="S38:S41" si="33">I38-N38</f>
        <v>1225</v>
      </c>
      <c r="T38" s="46">
        <f t="shared" ref="T38:T41" si="34">J38-O38</f>
        <v>5784.6799999999994</v>
      </c>
      <c r="U38" s="69">
        <f t="shared" ref="U38:U41" si="35">K38-P38</f>
        <v>2415.9299999999994</v>
      </c>
      <c r="W38" s="70">
        <f t="shared" ref="W38:W41" si="36">L38-Q38</f>
        <v>-7.0279898711151922E-3</v>
      </c>
      <c r="X38" s="71">
        <f t="shared" si="30"/>
        <v>-7.0279898711151922E-3</v>
      </c>
    </row>
    <row r="39" spans="1:24" ht="20.25" customHeight="1" x14ac:dyDescent="0.35">
      <c r="A39" s="12" t="s">
        <v>26</v>
      </c>
      <c r="B39" s="12"/>
      <c r="C39" s="12" t="str">
        <f>C38</f>
        <v>BUCKET HAT</v>
      </c>
      <c r="D39" s="31"/>
      <c r="E39" s="38"/>
      <c r="F39" s="39" t="str">
        <f>"S100017"</f>
        <v>S100017</v>
      </c>
      <c r="G39" s="40" t="str">
        <f>"Microfiber Bucket Hat"</f>
        <v>Microfiber Bucket Hat</v>
      </c>
      <c r="H39" s="41">
        <v>4.76</v>
      </c>
      <c r="I39" s="42">
        <v>1306</v>
      </c>
      <c r="J39" s="43">
        <v>9135.3799999999992</v>
      </c>
      <c r="K39" s="43">
        <f>J39-(I39*H39)</f>
        <v>2918.8199999999997</v>
      </c>
      <c r="L39" s="44">
        <f>IF(J39=0,0,K39/J39)</f>
        <v>0.31950723451022289</v>
      </c>
      <c r="M39" s="45"/>
      <c r="N39" s="42">
        <v>894</v>
      </c>
      <c r="O39" s="43">
        <v>6421.1500000000005</v>
      </c>
      <c r="P39" s="43">
        <f t="shared" si="31"/>
        <v>2165.7100000000009</v>
      </c>
      <c r="Q39" s="44">
        <f t="shared" si="32"/>
        <v>0.33727759046276767</v>
      </c>
      <c r="S39" s="68">
        <f t="shared" si="33"/>
        <v>412</v>
      </c>
      <c r="T39" s="46">
        <f t="shared" si="34"/>
        <v>2714.2299999999987</v>
      </c>
      <c r="U39" s="69">
        <f t="shared" si="35"/>
        <v>753.10999999999876</v>
      </c>
      <c r="W39" s="70">
        <f t="shared" si="36"/>
        <v>-1.7770355952544781E-2</v>
      </c>
      <c r="X39" s="71">
        <f t="shared" si="30"/>
        <v>-1.7770355952544781E-2</v>
      </c>
    </row>
    <row r="40" spans="1:24" ht="20.25" customHeight="1" x14ac:dyDescent="0.35">
      <c r="A40" s="12" t="s">
        <v>26</v>
      </c>
      <c r="B40" s="12"/>
      <c r="C40" s="12" t="str">
        <f>C39</f>
        <v>BUCKET HAT</v>
      </c>
      <c r="D40" s="31"/>
      <c r="E40" s="38"/>
      <c r="F40" s="39" t="str">
        <f>"S100018"</f>
        <v>S100018</v>
      </c>
      <c r="G40" s="40" t="str">
        <f>"Crusher Bucket Hat"</f>
        <v>Crusher Bucket Hat</v>
      </c>
      <c r="H40" s="41">
        <v>3.5</v>
      </c>
      <c r="I40" s="42">
        <v>1729.0000000000002</v>
      </c>
      <c r="J40" s="43">
        <v>12422.94</v>
      </c>
      <c r="K40" s="43">
        <f>J40-(I40*H40)</f>
        <v>6371.44</v>
      </c>
      <c r="L40" s="44">
        <f>IF(J40=0,0,K40/J40)</f>
        <v>0.51287698403115523</v>
      </c>
      <c r="M40" s="45"/>
      <c r="N40" s="42">
        <v>769</v>
      </c>
      <c r="O40" s="43">
        <v>5485.05</v>
      </c>
      <c r="P40" s="43">
        <f t="shared" si="31"/>
        <v>2793.55</v>
      </c>
      <c r="Q40" s="44">
        <f t="shared" si="32"/>
        <v>0.50930255877339314</v>
      </c>
      <c r="S40" s="68">
        <f t="shared" si="33"/>
        <v>960.00000000000023</v>
      </c>
      <c r="T40" s="46">
        <f t="shared" si="34"/>
        <v>6937.89</v>
      </c>
      <c r="U40" s="69">
        <f t="shared" si="35"/>
        <v>3577.8899999999994</v>
      </c>
      <c r="W40" s="70">
        <f t="shared" si="36"/>
        <v>3.5744252577620816E-3</v>
      </c>
      <c r="X40" s="71">
        <f t="shared" si="30"/>
        <v>3.5744252577620816E-3</v>
      </c>
    </row>
    <row r="41" spans="1:24" ht="20.25" customHeight="1" x14ac:dyDescent="0.35">
      <c r="A41" s="12" t="s">
        <v>26</v>
      </c>
      <c r="B41" s="12"/>
      <c r="C41" s="12" t="str">
        <f>C40</f>
        <v>BUCKET HAT</v>
      </c>
      <c r="D41" s="31"/>
      <c r="E41" s="38"/>
      <c r="F41" s="39" t="str">
        <f>"S100019"</f>
        <v>S100019</v>
      </c>
      <c r="G41" s="40" t="str">
        <f>"Sportsman Bucket Hat"</f>
        <v>Sportsman Bucket Hat</v>
      </c>
      <c r="H41" s="41">
        <v>2.4300000000000002</v>
      </c>
      <c r="I41" s="42">
        <v>1927</v>
      </c>
      <c r="J41" s="43">
        <v>8508.57</v>
      </c>
      <c r="K41" s="43">
        <f>J41-(I41*H41)</f>
        <v>3825.9599999999991</v>
      </c>
      <c r="L41" s="44">
        <f>IF(J41=0,0,K41/J41)</f>
        <v>0.44965957851906951</v>
      </c>
      <c r="M41" s="45"/>
      <c r="N41" s="42">
        <v>1351</v>
      </c>
      <c r="O41" s="43">
        <v>6043.96</v>
      </c>
      <c r="P41" s="43">
        <f t="shared" si="31"/>
        <v>2761.0299999999997</v>
      </c>
      <c r="Q41" s="44">
        <f t="shared" si="32"/>
        <v>0.45682466462385585</v>
      </c>
      <c r="S41" s="68">
        <f t="shared" si="33"/>
        <v>576</v>
      </c>
      <c r="T41" s="46">
        <f t="shared" si="34"/>
        <v>2464.6099999999997</v>
      </c>
      <c r="U41" s="69">
        <f t="shared" si="35"/>
        <v>1064.9299999999994</v>
      </c>
      <c r="W41" s="70">
        <f t="shared" si="36"/>
        <v>-7.1650861047863335E-3</v>
      </c>
      <c r="X41" s="71">
        <f t="shared" si="30"/>
        <v>-7.1650861047863335E-3</v>
      </c>
    </row>
    <row r="42" spans="1:24" ht="17.25" customHeight="1" x14ac:dyDescent="0.3">
      <c r="A42" s="12" t="s">
        <v>26</v>
      </c>
      <c r="B42" s="12"/>
      <c r="C42" s="12" t="str">
        <f>C37</f>
        <v>BUCKET HAT</v>
      </c>
      <c r="D42" s="31"/>
      <c r="E42" s="38"/>
      <c r="F42" s="31"/>
      <c r="G42" s="31"/>
      <c r="H42" s="31"/>
      <c r="I42" s="42"/>
      <c r="J42" s="47"/>
      <c r="K42" s="47"/>
      <c r="L42" s="48"/>
      <c r="M42" s="45"/>
      <c r="N42" s="42"/>
      <c r="O42" s="47"/>
      <c r="P42" s="47"/>
      <c r="Q42" s="48"/>
      <c r="S42" s="68"/>
      <c r="T42" s="46"/>
      <c r="U42" s="69"/>
      <c r="W42" s="70"/>
      <c r="X42" s="71">
        <f t="shared" si="30"/>
        <v>0</v>
      </c>
    </row>
    <row r="43" spans="1:24" s="49" customFormat="1" ht="20.25" customHeight="1" x14ac:dyDescent="0.35">
      <c r="A43" s="50" t="s">
        <v>26</v>
      </c>
      <c r="B43" s="12"/>
      <c r="C43" s="12" t="str">
        <f>C42</f>
        <v>BUCKET HAT</v>
      </c>
      <c r="D43" s="31"/>
      <c r="E43" s="51"/>
      <c r="F43" s="52"/>
      <c r="G43" s="52"/>
      <c r="H43" s="53" t="str">
        <f>E36&amp;" Total"</f>
        <v>BUCKET HAT Total</v>
      </c>
      <c r="I43" s="54">
        <f>SUBTOTAL(9,I37:I42)</f>
        <v>8230</v>
      </c>
      <c r="J43" s="55">
        <f>SUBTOTAL(9,J37:J42)</f>
        <v>47818.46</v>
      </c>
      <c r="K43" s="55">
        <f>SUBTOTAL(9,K37:K42)</f>
        <v>21088.689999999995</v>
      </c>
      <c r="L43" s="56">
        <f>IF(J43=0,0,K43/J43)</f>
        <v>0.44101566633471667</v>
      </c>
      <c r="M43" s="57"/>
      <c r="N43" s="54">
        <f>SUBTOTAL(9,N37:N42)</f>
        <v>5578</v>
      </c>
      <c r="O43" s="55">
        <f>SUBTOTAL(9,O37:O42)</f>
        <v>33571.97</v>
      </c>
      <c r="P43" s="55">
        <f t="shared" ref="P43" si="37">SUM(P37:P42)</f>
        <v>15035.310000000001</v>
      </c>
      <c r="Q43" s="56">
        <f t="shared" ref="Q43" si="38">IF(O43=0,0,P43/O43)</f>
        <v>0.44785307505040667</v>
      </c>
      <c r="R43" s="58"/>
      <c r="S43" s="72">
        <f t="shared" ref="S43:U43" si="39">SUBTOTAL(9,S37:S42)</f>
        <v>2652</v>
      </c>
      <c r="T43" s="59">
        <f t="shared" si="39"/>
        <v>14246.489999999998</v>
      </c>
      <c r="U43" s="73">
        <f t="shared" si="39"/>
        <v>6053.3799999999956</v>
      </c>
      <c r="V43" s="58"/>
      <c r="W43" s="74">
        <f t="shared" ref="W43" si="40">L43-Q43</f>
        <v>-6.8374087156899965E-3</v>
      </c>
      <c r="X43" s="71">
        <f t="shared" si="30"/>
        <v>-6.8374087156899965E-3</v>
      </c>
    </row>
    <row r="44" spans="1:24" s="49" customFormat="1" ht="20.25" customHeight="1" x14ac:dyDescent="0.35">
      <c r="A44" s="50" t="s">
        <v>26</v>
      </c>
      <c r="B44" s="12"/>
      <c r="C44" s="12" t="str">
        <f>C43</f>
        <v>BUCKET HAT</v>
      </c>
      <c r="D44" s="31"/>
      <c r="E44" s="101"/>
      <c r="F44" s="102"/>
      <c r="G44" s="102"/>
      <c r="H44" s="103"/>
      <c r="I44" s="104"/>
      <c r="J44" s="105"/>
      <c r="K44" s="105"/>
      <c r="L44" s="106"/>
      <c r="M44" s="57"/>
      <c r="N44" s="104"/>
      <c r="O44" s="105"/>
      <c r="P44" s="105"/>
      <c r="Q44" s="106"/>
      <c r="R44" s="58"/>
      <c r="S44" s="107"/>
      <c r="T44" s="108"/>
      <c r="U44" s="109"/>
      <c r="V44" s="58"/>
      <c r="W44" s="110"/>
      <c r="X44" s="75"/>
    </row>
    <row r="45" spans="1:24" ht="20.25" customHeight="1" x14ac:dyDescent="0.35">
      <c r="A45" s="12" t="s">
        <v>26</v>
      </c>
      <c r="B45" s="12"/>
      <c r="C45" s="12" t="str">
        <f>E45</f>
        <v>BUS. BAG</v>
      </c>
      <c r="D45" s="31"/>
      <c r="E45" s="32" t="str">
        <f>"BUS. BAG"</f>
        <v>BUS. BAG</v>
      </c>
      <c r="F45" s="33"/>
      <c r="G45" s="33"/>
      <c r="H45" s="33"/>
      <c r="I45" s="34"/>
      <c r="J45" s="31"/>
      <c r="K45" s="31"/>
      <c r="L45" s="35"/>
      <c r="N45" s="36"/>
      <c r="O45" s="33"/>
      <c r="P45" s="33"/>
      <c r="Q45" s="37"/>
      <c r="S45" s="64"/>
      <c r="T45" s="65"/>
      <c r="U45" s="66"/>
      <c r="W45" s="67"/>
      <c r="X45" s="66"/>
    </row>
    <row r="46" spans="1:24" ht="20.25" customHeight="1" x14ac:dyDescent="0.35">
      <c r="A46" s="12" t="s">
        <v>26</v>
      </c>
      <c r="B46" s="12"/>
      <c r="C46" s="12" t="str">
        <f>C45</f>
        <v>BUS. BAG</v>
      </c>
      <c r="D46" s="31"/>
      <c r="E46" s="38"/>
      <c r="F46" s="39" t="str">
        <f>"C100014"</f>
        <v>C100014</v>
      </c>
      <c r="G46" s="40" t="str">
        <f>"Canvas Field Bag"</f>
        <v>Canvas Field Bag</v>
      </c>
      <c r="H46" s="41">
        <v>4.59</v>
      </c>
      <c r="I46" s="42">
        <v>480</v>
      </c>
      <c r="J46" s="43">
        <v>4308.54</v>
      </c>
      <c r="K46" s="43">
        <f>J46-(I46*H46)</f>
        <v>2105.34</v>
      </c>
      <c r="L46" s="44">
        <f>IF(J46=0,0,K46/J46)</f>
        <v>0.48864348479995545</v>
      </c>
      <c r="M46" s="45"/>
      <c r="N46" s="42">
        <v>576</v>
      </c>
      <c r="O46" s="43">
        <v>5216.0600000000004</v>
      </c>
      <c r="P46" s="43">
        <f t="shared" ref="P46" si="41">O46-(N46*$H46)</f>
        <v>2572.2200000000003</v>
      </c>
      <c r="Q46" s="44">
        <f t="shared" ref="Q46" si="42">IF(O46=0,0,P46/O46)</f>
        <v>0.49313466486198398</v>
      </c>
      <c r="S46" s="68">
        <f t="shared" ref="S46" si="43">I46-N46</f>
        <v>-96</v>
      </c>
      <c r="T46" s="46">
        <f t="shared" ref="T46" si="44">J46-O46</f>
        <v>-907.52000000000044</v>
      </c>
      <c r="U46" s="69">
        <f t="shared" ref="U46" si="45">K46-P46</f>
        <v>-466.88000000000011</v>
      </c>
      <c r="W46" s="70">
        <f t="shared" ref="W46" si="46">L46-Q46</f>
        <v>-4.4911800620285325E-3</v>
      </c>
      <c r="X46" s="71">
        <f t="shared" ref="X46:X48" si="47">W46</f>
        <v>-4.4911800620285325E-3</v>
      </c>
    </row>
    <row r="47" spans="1:24" ht="17.25" customHeight="1" x14ac:dyDescent="0.3">
      <c r="A47" s="12" t="s">
        <v>26</v>
      </c>
      <c r="B47" s="12"/>
      <c r="C47" s="12" t="str">
        <f>C46</f>
        <v>BUS. BAG</v>
      </c>
      <c r="D47" s="31"/>
      <c r="E47" s="38"/>
      <c r="F47" s="31"/>
      <c r="G47" s="31"/>
      <c r="H47" s="31"/>
      <c r="I47" s="42"/>
      <c r="J47" s="47"/>
      <c r="K47" s="47"/>
      <c r="L47" s="48"/>
      <c r="M47" s="45"/>
      <c r="N47" s="42"/>
      <c r="O47" s="47"/>
      <c r="P47" s="47"/>
      <c r="Q47" s="48"/>
      <c r="S47" s="68"/>
      <c r="T47" s="46"/>
      <c r="U47" s="69"/>
      <c r="W47" s="70"/>
      <c r="X47" s="71">
        <f t="shared" si="47"/>
        <v>0</v>
      </c>
    </row>
    <row r="48" spans="1:24" s="49" customFormat="1" ht="20.25" customHeight="1" x14ac:dyDescent="0.35">
      <c r="A48" s="50" t="s">
        <v>26</v>
      </c>
      <c r="B48" s="12"/>
      <c r="C48" s="12" t="str">
        <f>C47</f>
        <v>BUS. BAG</v>
      </c>
      <c r="D48" s="31"/>
      <c r="E48" s="51"/>
      <c r="F48" s="52"/>
      <c r="G48" s="52"/>
      <c r="H48" s="53" t="str">
        <f>E45&amp;" Total"</f>
        <v>BUS. BAG Total</v>
      </c>
      <c r="I48" s="54">
        <f>SUBTOTAL(9,I46:I47)</f>
        <v>480</v>
      </c>
      <c r="J48" s="55">
        <f>SUBTOTAL(9,J46:J47)</f>
        <v>4308.54</v>
      </c>
      <c r="K48" s="55">
        <f>SUBTOTAL(9,K46:K47)</f>
        <v>2105.34</v>
      </c>
      <c r="L48" s="56">
        <f>IF(J48=0,0,K48/J48)</f>
        <v>0.48864348479995545</v>
      </c>
      <c r="M48" s="57"/>
      <c r="N48" s="54">
        <f>SUBTOTAL(9,N46:N47)</f>
        <v>576</v>
      </c>
      <c r="O48" s="55">
        <f>SUBTOTAL(9,O46:O47)</f>
        <v>5216.0600000000004</v>
      </c>
      <c r="P48" s="55">
        <f t="shared" ref="P48" si="48">SUM(P46:P47)</f>
        <v>2572.2200000000003</v>
      </c>
      <c r="Q48" s="56">
        <f t="shared" ref="Q48" si="49">IF(O48=0,0,P48/O48)</f>
        <v>0.49313466486198398</v>
      </c>
      <c r="R48" s="58"/>
      <c r="S48" s="72">
        <f t="shared" ref="S48:U48" si="50">SUBTOTAL(9,S46:S47)</f>
        <v>-96</v>
      </c>
      <c r="T48" s="59">
        <f t="shared" si="50"/>
        <v>-907.52000000000044</v>
      </c>
      <c r="U48" s="73">
        <f t="shared" si="50"/>
        <v>-466.88000000000011</v>
      </c>
      <c r="V48" s="58"/>
      <c r="W48" s="74">
        <f t="shared" ref="W48" si="51">L48-Q48</f>
        <v>-4.4911800620285325E-3</v>
      </c>
      <c r="X48" s="71">
        <f t="shared" si="47"/>
        <v>-4.4911800620285325E-3</v>
      </c>
    </row>
    <row r="49" spans="1:24" s="49" customFormat="1" ht="20.25" customHeight="1" x14ac:dyDescent="0.35">
      <c r="A49" s="50" t="s">
        <v>26</v>
      </c>
      <c r="B49" s="12"/>
      <c r="C49" s="12" t="str">
        <f>C48</f>
        <v>BUS. BAG</v>
      </c>
      <c r="D49" s="31"/>
      <c r="E49" s="101"/>
      <c r="F49" s="102"/>
      <c r="G49" s="102"/>
      <c r="H49" s="103"/>
      <c r="I49" s="104"/>
      <c r="J49" s="105"/>
      <c r="K49" s="105"/>
      <c r="L49" s="106"/>
      <c r="M49" s="57"/>
      <c r="N49" s="104"/>
      <c r="O49" s="105"/>
      <c r="P49" s="105"/>
      <c r="Q49" s="106"/>
      <c r="R49" s="58"/>
      <c r="S49" s="107"/>
      <c r="T49" s="108"/>
      <c r="U49" s="109"/>
      <c r="V49" s="58"/>
      <c r="W49" s="110"/>
      <c r="X49" s="75"/>
    </row>
    <row r="50" spans="1:24" ht="20.25" customHeight="1" x14ac:dyDescent="0.35">
      <c r="A50" s="12" t="s">
        <v>26</v>
      </c>
      <c r="B50" s="12"/>
      <c r="C50" s="12" t="str">
        <f>E50</f>
        <v>CALCULATOR</v>
      </c>
      <c r="D50" s="31"/>
      <c r="E50" s="32" t="str">
        <f>"CALCULATOR"</f>
        <v>CALCULATOR</v>
      </c>
      <c r="F50" s="33"/>
      <c r="G50" s="33"/>
      <c r="H50" s="33"/>
      <c r="I50" s="34"/>
      <c r="J50" s="31"/>
      <c r="K50" s="31"/>
      <c r="L50" s="35"/>
      <c r="N50" s="36"/>
      <c r="O50" s="33"/>
      <c r="P50" s="33"/>
      <c r="Q50" s="37"/>
      <c r="S50" s="64"/>
      <c r="T50" s="65"/>
      <c r="U50" s="66"/>
      <c r="W50" s="67"/>
      <c r="X50" s="66"/>
    </row>
    <row r="51" spans="1:24" ht="20.25" customHeight="1" x14ac:dyDescent="0.35">
      <c r="A51" s="12" t="s">
        <v>26</v>
      </c>
      <c r="B51" s="12"/>
      <c r="C51" s="12" t="str">
        <f>C50</f>
        <v>CALCULATOR</v>
      </c>
      <c r="D51" s="31"/>
      <c r="E51" s="38"/>
      <c r="F51" s="39" t="str">
        <f>"C100056"</f>
        <v>C100056</v>
      </c>
      <c r="G51" s="40" t="str">
        <f>"Contemporary Desk Calculator"</f>
        <v>Contemporary Desk Calculator</v>
      </c>
      <c r="H51" s="41">
        <v>2.66</v>
      </c>
      <c r="I51" s="42">
        <v>624</v>
      </c>
      <c r="J51" s="43">
        <v>3289.23</v>
      </c>
      <c r="K51" s="43">
        <f>J51-(I51*H51)</f>
        <v>1629.3899999999999</v>
      </c>
      <c r="L51" s="44">
        <f>IF(J51=0,0,K51/J51)</f>
        <v>0.49537125710272611</v>
      </c>
      <c r="M51" s="45"/>
      <c r="N51" s="42">
        <v>930</v>
      </c>
      <c r="O51" s="43">
        <v>4909.58</v>
      </c>
      <c r="P51" s="43">
        <f t="shared" ref="P51" si="52">O51-(N51*$H51)</f>
        <v>2435.7799999999997</v>
      </c>
      <c r="Q51" s="44">
        <f t="shared" ref="Q51" si="53">IF(O51=0,0,P51/O51)</f>
        <v>0.4961279783606744</v>
      </c>
      <c r="S51" s="68">
        <f t="shared" ref="S51" si="54">I51-N51</f>
        <v>-306</v>
      </c>
      <c r="T51" s="46">
        <f t="shared" ref="T51" si="55">J51-O51</f>
        <v>-1620.35</v>
      </c>
      <c r="U51" s="69">
        <f t="shared" ref="U51" si="56">K51-P51</f>
        <v>-806.38999999999987</v>
      </c>
      <c r="W51" s="70">
        <f t="shared" ref="W51" si="57">L51-Q51</f>
        <v>-7.5672125794828959E-4</v>
      </c>
      <c r="X51" s="71">
        <f t="shared" ref="X51:X57" si="58">W51</f>
        <v>-7.5672125794828959E-4</v>
      </c>
    </row>
    <row r="52" spans="1:24" ht="20.25" customHeight="1" x14ac:dyDescent="0.35">
      <c r="A52" s="12" t="s">
        <v>26</v>
      </c>
      <c r="B52" s="12"/>
      <c r="C52" s="12" t="str">
        <f>C51</f>
        <v>CALCULATOR</v>
      </c>
      <c r="D52" s="31"/>
      <c r="E52" s="38"/>
      <c r="F52" s="39" t="str">
        <f>"E100024"</f>
        <v>E100024</v>
      </c>
      <c r="G52" s="40" t="str">
        <f>"Arch Calculator"</f>
        <v>Arch Calculator</v>
      </c>
      <c r="H52" s="41">
        <v>1.7202</v>
      </c>
      <c r="I52" s="42">
        <v>666</v>
      </c>
      <c r="J52" s="43">
        <v>2005.59</v>
      </c>
      <c r="K52" s="43">
        <f>J52-(I52*H52)</f>
        <v>859.93679999999995</v>
      </c>
      <c r="L52" s="44">
        <f>IF(J52=0,0,K52/J52)</f>
        <v>0.42876998788386461</v>
      </c>
      <c r="M52" s="45"/>
      <c r="N52" s="42">
        <v>301</v>
      </c>
      <c r="O52" s="43">
        <v>937.96999999999991</v>
      </c>
      <c r="P52" s="43">
        <f t="shared" ref="P52:P55" si="59">O52-(N52*$H52)</f>
        <v>420.18979999999988</v>
      </c>
      <c r="Q52" s="44">
        <f t="shared" ref="Q52:Q55" si="60">IF(O52=0,0,P52/O52)</f>
        <v>0.44797786709596249</v>
      </c>
      <c r="S52" s="68">
        <f t="shared" ref="S52:S55" si="61">I52-N52</f>
        <v>365</v>
      </c>
      <c r="T52" s="46">
        <f t="shared" ref="T52:T55" si="62">J52-O52</f>
        <v>1067.6199999999999</v>
      </c>
      <c r="U52" s="69">
        <f t="shared" ref="U52:U55" si="63">K52-P52</f>
        <v>439.74700000000007</v>
      </c>
      <c r="W52" s="70">
        <f t="shared" ref="W52:W55" si="64">L52-Q52</f>
        <v>-1.9207879212097878E-2</v>
      </c>
      <c r="X52" s="71">
        <f t="shared" si="58"/>
        <v>-1.9207879212097878E-2</v>
      </c>
    </row>
    <row r="53" spans="1:24" ht="20.25" customHeight="1" x14ac:dyDescent="0.35">
      <c r="A53" s="12" t="s">
        <v>26</v>
      </c>
      <c r="B53" s="12"/>
      <c r="C53" s="12" t="str">
        <f>C52</f>
        <v>CALCULATOR</v>
      </c>
      <c r="D53" s="31"/>
      <c r="E53" s="38"/>
      <c r="F53" s="39" t="str">
        <f>"E100025"</f>
        <v>E100025</v>
      </c>
      <c r="G53" s="40" t="str">
        <f>"Calc-U-Note"</f>
        <v>Calc-U-Note</v>
      </c>
      <c r="H53" s="41">
        <v>1.02</v>
      </c>
      <c r="I53" s="42">
        <v>193.99999999999997</v>
      </c>
      <c r="J53" s="43">
        <v>311.79000000000002</v>
      </c>
      <c r="K53" s="43">
        <f>J53-(I53*H53)</f>
        <v>113.91000000000005</v>
      </c>
      <c r="L53" s="44">
        <f>IF(J53=0,0,K53/J53)</f>
        <v>0.36534205715385371</v>
      </c>
      <c r="M53" s="45"/>
      <c r="N53" s="42">
        <v>865</v>
      </c>
      <c r="O53" s="43">
        <v>1383.07</v>
      </c>
      <c r="P53" s="43">
        <f t="shared" si="59"/>
        <v>500.76999999999987</v>
      </c>
      <c r="Q53" s="44">
        <f t="shared" si="60"/>
        <v>0.36207133406118264</v>
      </c>
      <c r="S53" s="68">
        <f t="shared" si="61"/>
        <v>-671</v>
      </c>
      <c r="T53" s="46">
        <f t="shared" si="62"/>
        <v>-1071.28</v>
      </c>
      <c r="U53" s="69">
        <f t="shared" si="63"/>
        <v>-386.85999999999979</v>
      </c>
      <c r="W53" s="70">
        <f t="shared" si="64"/>
        <v>3.2707230926710684E-3</v>
      </c>
      <c r="X53" s="71">
        <f t="shared" si="58"/>
        <v>3.2707230926710684E-3</v>
      </c>
    </row>
    <row r="54" spans="1:24" ht="20.25" customHeight="1" x14ac:dyDescent="0.35">
      <c r="A54" s="12" t="s">
        <v>26</v>
      </c>
      <c r="B54" s="12"/>
      <c r="C54" s="12" t="str">
        <f>C53</f>
        <v>CALCULATOR</v>
      </c>
      <c r="D54" s="31"/>
      <c r="E54" s="38"/>
      <c r="F54" s="39" t="str">
        <f>"E100026"</f>
        <v>E100026</v>
      </c>
      <c r="G54" s="40" t="str">
        <f>"Desk Calculator"</f>
        <v>Desk Calculator</v>
      </c>
      <c r="H54" s="41">
        <v>0.48</v>
      </c>
      <c r="I54" s="42">
        <v>625</v>
      </c>
      <c r="J54" s="43">
        <v>507.33</v>
      </c>
      <c r="K54" s="43">
        <f>J54-(I54*H54)</f>
        <v>207.32999999999998</v>
      </c>
      <c r="L54" s="44">
        <f>IF(J54=0,0,K54/J54)</f>
        <v>0.40866891372479447</v>
      </c>
      <c r="M54" s="45"/>
      <c r="N54" s="42">
        <v>736</v>
      </c>
      <c r="O54" s="43">
        <v>613.16</v>
      </c>
      <c r="P54" s="43">
        <f t="shared" si="59"/>
        <v>259.88</v>
      </c>
      <c r="Q54" s="44">
        <f t="shared" si="60"/>
        <v>0.42383717137451887</v>
      </c>
      <c r="S54" s="68">
        <f t="shared" si="61"/>
        <v>-111</v>
      </c>
      <c r="T54" s="46">
        <f t="shared" si="62"/>
        <v>-105.82999999999998</v>
      </c>
      <c r="U54" s="69">
        <f t="shared" si="63"/>
        <v>-52.550000000000011</v>
      </c>
      <c r="W54" s="70">
        <f t="shared" si="64"/>
        <v>-1.5168257649724404E-2</v>
      </c>
      <c r="X54" s="71">
        <f t="shared" si="58"/>
        <v>-1.5168257649724404E-2</v>
      </c>
    </row>
    <row r="55" spans="1:24" ht="20.25" customHeight="1" x14ac:dyDescent="0.35">
      <c r="A55" s="12" t="s">
        <v>26</v>
      </c>
      <c r="B55" s="12"/>
      <c r="C55" s="12" t="str">
        <f>C54</f>
        <v>CALCULATOR</v>
      </c>
      <c r="D55" s="31"/>
      <c r="E55" s="38"/>
      <c r="F55" s="39" t="str">
        <f>"E100027"</f>
        <v>E100027</v>
      </c>
      <c r="G55" s="40" t="str">
        <f>"Ergo-Calculator"</f>
        <v>Ergo-Calculator</v>
      </c>
      <c r="H55" s="41">
        <v>1.2797000000000001</v>
      </c>
      <c r="I55" s="42">
        <v>601</v>
      </c>
      <c r="J55" s="43">
        <v>1423.33</v>
      </c>
      <c r="K55" s="43">
        <f>J55-(I55*H55)</f>
        <v>654.23029999999994</v>
      </c>
      <c r="L55" s="44">
        <f>IF(J55=0,0,K55/J55)</f>
        <v>0.4596476572544666</v>
      </c>
      <c r="M55" s="45"/>
      <c r="N55" s="42">
        <v>632</v>
      </c>
      <c r="O55" s="43">
        <v>1498.8200000000002</v>
      </c>
      <c r="P55" s="43">
        <f t="shared" si="59"/>
        <v>690.04960000000017</v>
      </c>
      <c r="Q55" s="44">
        <f t="shared" si="60"/>
        <v>0.460395244258817</v>
      </c>
      <c r="S55" s="68">
        <f t="shared" si="61"/>
        <v>-31</v>
      </c>
      <c r="T55" s="46">
        <f t="shared" si="62"/>
        <v>-75.490000000000236</v>
      </c>
      <c r="U55" s="69">
        <f t="shared" si="63"/>
        <v>-35.819300000000226</v>
      </c>
      <c r="W55" s="70">
        <f t="shared" si="64"/>
        <v>-7.4758700435040293E-4</v>
      </c>
      <c r="X55" s="71">
        <f t="shared" si="58"/>
        <v>-7.4758700435040293E-4</v>
      </c>
    </row>
    <row r="56" spans="1:24" ht="17.25" customHeight="1" x14ac:dyDescent="0.3">
      <c r="A56" s="12" t="s">
        <v>26</v>
      </c>
      <c r="B56" s="12"/>
      <c r="C56" s="12" t="str">
        <f>C51</f>
        <v>CALCULATOR</v>
      </c>
      <c r="D56" s="31"/>
      <c r="E56" s="38"/>
      <c r="F56" s="31"/>
      <c r="G56" s="31"/>
      <c r="H56" s="31"/>
      <c r="I56" s="42"/>
      <c r="J56" s="47"/>
      <c r="K56" s="47"/>
      <c r="L56" s="48"/>
      <c r="M56" s="45"/>
      <c r="N56" s="42"/>
      <c r="O56" s="47"/>
      <c r="P56" s="47"/>
      <c r="Q56" s="48"/>
      <c r="S56" s="68"/>
      <c r="T56" s="46"/>
      <c r="U56" s="69"/>
      <c r="W56" s="70"/>
      <c r="X56" s="71">
        <f t="shared" si="58"/>
        <v>0</v>
      </c>
    </row>
    <row r="57" spans="1:24" s="49" customFormat="1" ht="20.25" customHeight="1" x14ac:dyDescent="0.35">
      <c r="A57" s="50" t="s">
        <v>26</v>
      </c>
      <c r="B57" s="12"/>
      <c r="C57" s="12" t="str">
        <f>C56</f>
        <v>CALCULATOR</v>
      </c>
      <c r="D57" s="31"/>
      <c r="E57" s="51"/>
      <c r="F57" s="52"/>
      <c r="G57" s="52"/>
      <c r="H57" s="53" t="str">
        <f>E50&amp;" Total"</f>
        <v>CALCULATOR Total</v>
      </c>
      <c r="I57" s="54">
        <f>SUBTOTAL(9,I51:I56)</f>
        <v>2710</v>
      </c>
      <c r="J57" s="55">
        <f>SUBTOTAL(9,J51:J56)</f>
        <v>7537.2699999999995</v>
      </c>
      <c r="K57" s="55">
        <f>SUBTOTAL(9,K51:K56)</f>
        <v>3464.7970999999998</v>
      </c>
      <c r="L57" s="56">
        <f>IF(J57=0,0,K57/J57)</f>
        <v>0.45968860077985796</v>
      </c>
      <c r="M57" s="57"/>
      <c r="N57" s="54">
        <f>SUBTOTAL(9,N51:N56)</f>
        <v>3464</v>
      </c>
      <c r="O57" s="55">
        <f>SUBTOTAL(9,O51:O56)</f>
        <v>9342.6</v>
      </c>
      <c r="P57" s="55">
        <f t="shared" ref="P57" si="65">SUM(P51:P56)</f>
        <v>4306.6693999999998</v>
      </c>
      <c r="Q57" s="56">
        <f t="shared" ref="Q57" si="66">IF(O57=0,0,P57/O57)</f>
        <v>0.46097118575128976</v>
      </c>
      <c r="R57" s="58"/>
      <c r="S57" s="72">
        <f t="shared" ref="S57:U57" si="67">SUBTOTAL(9,S51:S56)</f>
        <v>-754</v>
      </c>
      <c r="T57" s="59">
        <f t="shared" si="67"/>
        <v>-1805.3300000000002</v>
      </c>
      <c r="U57" s="73">
        <f t="shared" si="67"/>
        <v>-841.87229999999988</v>
      </c>
      <c r="V57" s="58"/>
      <c r="W57" s="74">
        <f t="shared" ref="W57" si="68">L57-Q57</f>
        <v>-1.2825849714317994E-3</v>
      </c>
      <c r="X57" s="71">
        <f t="shared" si="58"/>
        <v>-1.2825849714317994E-3</v>
      </c>
    </row>
    <row r="58" spans="1:24" s="49" customFormat="1" ht="20.25" customHeight="1" x14ac:dyDescent="0.35">
      <c r="A58" s="50" t="s">
        <v>26</v>
      </c>
      <c r="B58" s="12"/>
      <c r="C58" s="12" t="str">
        <f>C57</f>
        <v>CALCULATOR</v>
      </c>
      <c r="D58" s="31"/>
      <c r="E58" s="101"/>
      <c r="F58" s="102"/>
      <c r="G58" s="102"/>
      <c r="H58" s="103"/>
      <c r="I58" s="104"/>
      <c r="J58" s="105"/>
      <c r="K58" s="105"/>
      <c r="L58" s="106"/>
      <c r="M58" s="57"/>
      <c r="N58" s="104"/>
      <c r="O58" s="105"/>
      <c r="P58" s="105"/>
      <c r="Q58" s="106"/>
      <c r="R58" s="58"/>
      <c r="S58" s="107"/>
      <c r="T58" s="108"/>
      <c r="U58" s="109"/>
      <c r="V58" s="58"/>
      <c r="W58" s="110"/>
      <c r="X58" s="75"/>
    </row>
    <row r="59" spans="1:24" ht="20.25" customHeight="1" x14ac:dyDescent="0.35">
      <c r="A59" s="12" t="s">
        <v>26</v>
      </c>
      <c r="B59" s="12"/>
      <c r="C59" s="12" t="str">
        <f>E59</f>
        <v>CLIPON</v>
      </c>
      <c r="D59" s="31"/>
      <c r="E59" s="32" t="str">
        <f>"CLIPON"</f>
        <v>CLIPON</v>
      </c>
      <c r="F59" s="33"/>
      <c r="G59" s="33"/>
      <c r="H59" s="33"/>
      <c r="I59" s="34"/>
      <c r="J59" s="31"/>
      <c r="K59" s="31"/>
      <c r="L59" s="35"/>
      <c r="N59" s="36"/>
      <c r="O59" s="33"/>
      <c r="P59" s="33"/>
      <c r="Q59" s="37"/>
      <c r="S59" s="64"/>
      <c r="T59" s="65"/>
      <c r="U59" s="66"/>
      <c r="W59" s="67"/>
      <c r="X59" s="66"/>
    </row>
    <row r="60" spans="1:24" ht="20.25" customHeight="1" x14ac:dyDescent="0.35">
      <c r="A60" s="12" t="s">
        <v>26</v>
      </c>
      <c r="B60" s="12"/>
      <c r="C60" s="12" t="str">
        <f>C59</f>
        <v>CLIPON</v>
      </c>
      <c r="D60" s="31"/>
      <c r="E60" s="38"/>
      <c r="F60" s="39" t="str">
        <f>"C100031"</f>
        <v>C100031</v>
      </c>
      <c r="G60" s="40" t="str">
        <f>"Carabiner Watch"</f>
        <v>Carabiner Watch</v>
      </c>
      <c r="H60" s="41">
        <v>8.58</v>
      </c>
      <c r="I60" s="42">
        <v>1165</v>
      </c>
      <c r="J60" s="43">
        <v>21147.23</v>
      </c>
      <c r="K60" s="43">
        <f>J60-(I60*H60)</f>
        <v>11151.529999999999</v>
      </c>
      <c r="L60" s="44">
        <f>IF(J60=0,0,K60/J60)</f>
        <v>0.5273281654382157</v>
      </c>
      <c r="M60" s="45"/>
      <c r="N60" s="42">
        <v>643</v>
      </c>
      <c r="O60" s="43">
        <v>11587.800000000001</v>
      </c>
      <c r="P60" s="43">
        <f t="shared" ref="P60" si="69">O60-(N60*$H60)</f>
        <v>6070.8600000000015</v>
      </c>
      <c r="Q60" s="44">
        <f t="shared" ref="Q60" si="70">IF(O60=0,0,P60/O60)</f>
        <v>0.52390099932687839</v>
      </c>
      <c r="S60" s="68">
        <f t="shared" ref="S60" si="71">I60-N60</f>
        <v>522</v>
      </c>
      <c r="T60" s="46">
        <f t="shared" ref="T60" si="72">J60-O60</f>
        <v>9559.4299999999985</v>
      </c>
      <c r="U60" s="69">
        <f t="shared" ref="U60" si="73">K60-P60</f>
        <v>5080.6699999999973</v>
      </c>
      <c r="W60" s="70">
        <f t="shared" ref="W60" si="74">L60-Q60</f>
        <v>3.4271661113373098E-3</v>
      </c>
      <c r="X60" s="71">
        <f t="shared" ref="X60:X66" si="75">W60</f>
        <v>3.4271661113373098E-3</v>
      </c>
    </row>
    <row r="61" spans="1:24" ht="20.25" customHeight="1" x14ac:dyDescent="0.35">
      <c r="A61" s="12" t="s">
        <v>26</v>
      </c>
      <c r="B61" s="12"/>
      <c r="C61" s="12" t="str">
        <f>C60</f>
        <v>CLIPON</v>
      </c>
      <c r="D61" s="31"/>
      <c r="E61" s="38"/>
      <c r="F61" s="39" t="str">
        <f>"C100032"</f>
        <v>C100032</v>
      </c>
      <c r="G61" s="40" t="str">
        <f>"Clip-on Clock"</f>
        <v>Clip-on Clock</v>
      </c>
      <c r="H61" s="41">
        <v>4.1596000000000002</v>
      </c>
      <c r="I61" s="42">
        <v>1685</v>
      </c>
      <c r="J61" s="43">
        <v>13393.949999999999</v>
      </c>
      <c r="K61" s="43">
        <f>J61-(I61*H61)</f>
        <v>6385.0239999999985</v>
      </c>
      <c r="L61" s="44">
        <f>IF(J61=0,0,K61/J61)</f>
        <v>0.4767095591666386</v>
      </c>
      <c r="M61" s="45"/>
      <c r="N61" s="42">
        <v>889.00000000000011</v>
      </c>
      <c r="O61" s="43">
        <v>7095.5999999999995</v>
      </c>
      <c r="P61" s="43">
        <f t="shared" ref="P61:P64" si="76">O61-(N61*$H61)</f>
        <v>3397.7155999999986</v>
      </c>
      <c r="Q61" s="44">
        <f t="shared" ref="Q61:Q64" si="77">IF(O61=0,0,P61/O61)</f>
        <v>0.47884824398218601</v>
      </c>
      <c r="S61" s="68">
        <f t="shared" ref="S61:S64" si="78">I61-N61</f>
        <v>795.99999999999989</v>
      </c>
      <c r="T61" s="46">
        <f t="shared" ref="T61:T64" si="79">J61-O61</f>
        <v>6298.3499999999995</v>
      </c>
      <c r="U61" s="69">
        <f t="shared" ref="U61:U64" si="80">K61-P61</f>
        <v>2987.3083999999999</v>
      </c>
      <c r="W61" s="70">
        <f t="shared" ref="W61:W64" si="81">L61-Q61</f>
        <v>-2.1386848155474092E-3</v>
      </c>
      <c r="X61" s="71">
        <f t="shared" si="75"/>
        <v>-2.1386848155474092E-3</v>
      </c>
    </row>
    <row r="62" spans="1:24" ht="20.25" customHeight="1" x14ac:dyDescent="0.35">
      <c r="A62" s="12" t="s">
        <v>26</v>
      </c>
      <c r="B62" s="12"/>
      <c r="C62" s="12" t="str">
        <f>C61</f>
        <v>CLIPON</v>
      </c>
      <c r="D62" s="31"/>
      <c r="E62" s="38"/>
      <c r="F62" s="39" t="str">
        <f>"E100015"</f>
        <v>E100015</v>
      </c>
      <c r="G62" s="40" t="str">
        <f>"360 Clip Watch"</f>
        <v>360 Clip Watch</v>
      </c>
      <c r="H62" s="41">
        <v>1.02</v>
      </c>
      <c r="I62" s="42">
        <v>1643</v>
      </c>
      <c r="J62" s="43">
        <v>3368.81</v>
      </c>
      <c r="K62" s="43">
        <f>J62-(I62*H62)</f>
        <v>1692.9499999999998</v>
      </c>
      <c r="L62" s="44">
        <f>IF(J62=0,0,K62/J62)</f>
        <v>0.50253650398805505</v>
      </c>
      <c r="M62" s="45"/>
      <c r="N62" s="42">
        <v>945</v>
      </c>
      <c r="O62" s="43">
        <v>1972.54</v>
      </c>
      <c r="P62" s="43">
        <f t="shared" si="76"/>
        <v>1008.64</v>
      </c>
      <c r="Q62" s="44">
        <f t="shared" si="77"/>
        <v>0.51134070791973796</v>
      </c>
      <c r="S62" s="68">
        <f t="shared" si="78"/>
        <v>698</v>
      </c>
      <c r="T62" s="46">
        <f t="shared" si="79"/>
        <v>1396.27</v>
      </c>
      <c r="U62" s="69">
        <f t="shared" si="80"/>
        <v>684.30999999999983</v>
      </c>
      <c r="W62" s="70">
        <f t="shared" si="81"/>
        <v>-8.8042039316829079E-3</v>
      </c>
      <c r="X62" s="71">
        <f t="shared" si="75"/>
        <v>-8.8042039316829079E-3</v>
      </c>
    </row>
    <row r="63" spans="1:24" ht="20.25" customHeight="1" x14ac:dyDescent="0.35">
      <c r="A63" s="12" t="s">
        <v>26</v>
      </c>
      <c r="B63" s="12"/>
      <c r="C63" s="12" t="str">
        <f>C62</f>
        <v>CLIPON</v>
      </c>
      <c r="D63" s="31"/>
      <c r="E63" s="38"/>
      <c r="F63" s="39" t="str">
        <f>"E100016"</f>
        <v>E100016</v>
      </c>
      <c r="G63" s="40" t="str">
        <f>"4 Function Rotating Carabiner Watch"</f>
        <v>4 Function Rotating Carabiner Watch</v>
      </c>
      <c r="H63" s="41">
        <v>1.3798999999999999</v>
      </c>
      <c r="I63" s="42">
        <v>1935.9999999999998</v>
      </c>
      <c r="J63" s="43">
        <v>5617.73</v>
      </c>
      <c r="K63" s="43">
        <f>J63-(I63*H63)</f>
        <v>2946.2436000000002</v>
      </c>
      <c r="L63" s="44">
        <f>IF(J63=0,0,K63/J63)</f>
        <v>0.52445446826387176</v>
      </c>
      <c r="M63" s="45"/>
      <c r="N63" s="42">
        <v>865</v>
      </c>
      <c r="O63" s="43">
        <v>2567.9</v>
      </c>
      <c r="P63" s="43">
        <f t="shared" si="76"/>
        <v>1374.2865000000002</v>
      </c>
      <c r="Q63" s="44">
        <f t="shared" si="77"/>
        <v>0.53517913470150713</v>
      </c>
      <c r="S63" s="68">
        <f t="shared" si="78"/>
        <v>1070.9999999999998</v>
      </c>
      <c r="T63" s="46">
        <f t="shared" si="79"/>
        <v>3049.8299999999995</v>
      </c>
      <c r="U63" s="69">
        <f t="shared" si="80"/>
        <v>1571.9571000000001</v>
      </c>
      <c r="W63" s="70">
        <f t="shared" si="81"/>
        <v>-1.0724666437635366E-2</v>
      </c>
      <c r="X63" s="71">
        <f t="shared" si="75"/>
        <v>-1.0724666437635366E-2</v>
      </c>
    </row>
    <row r="64" spans="1:24" ht="20.25" customHeight="1" x14ac:dyDescent="0.35">
      <c r="A64" s="12" t="s">
        <v>26</v>
      </c>
      <c r="B64" s="12"/>
      <c r="C64" s="12" t="str">
        <f>C63</f>
        <v>CLIPON</v>
      </c>
      <c r="D64" s="31"/>
      <c r="E64" s="38"/>
      <c r="F64" s="39" t="str">
        <f>"E100017"</f>
        <v>E100017</v>
      </c>
      <c r="G64" s="40" t="str">
        <f>"Clip-on Clock with Compass"</f>
        <v>Clip-on Clock with Compass</v>
      </c>
      <c r="H64" s="41">
        <v>0.88</v>
      </c>
      <c r="I64" s="42">
        <v>1688</v>
      </c>
      <c r="J64" s="43">
        <v>2527.9500000000003</v>
      </c>
      <c r="K64" s="43">
        <f>J64-(I64*H64)</f>
        <v>1042.5100000000002</v>
      </c>
      <c r="L64" s="44">
        <f>IF(J64=0,0,K64/J64)</f>
        <v>0.41239344132597561</v>
      </c>
      <c r="M64" s="45"/>
      <c r="N64" s="42">
        <v>1625</v>
      </c>
      <c r="O64" s="43">
        <v>2471.36</v>
      </c>
      <c r="P64" s="43">
        <f t="shared" si="76"/>
        <v>1041.3600000000001</v>
      </c>
      <c r="Q64" s="44">
        <f t="shared" si="77"/>
        <v>0.4213712287970996</v>
      </c>
      <c r="S64" s="68">
        <f t="shared" si="78"/>
        <v>63</v>
      </c>
      <c r="T64" s="46">
        <f t="shared" si="79"/>
        <v>56.590000000000146</v>
      </c>
      <c r="U64" s="69">
        <f t="shared" si="80"/>
        <v>1.1500000000000909</v>
      </c>
      <c r="W64" s="70">
        <f t="shared" si="81"/>
        <v>-8.977787471123988E-3</v>
      </c>
      <c r="X64" s="71">
        <f t="shared" si="75"/>
        <v>-8.977787471123988E-3</v>
      </c>
    </row>
    <row r="65" spans="1:24" ht="17.25" customHeight="1" x14ac:dyDescent="0.3">
      <c r="A65" s="12" t="s">
        <v>26</v>
      </c>
      <c r="B65" s="12"/>
      <c r="C65" s="12" t="str">
        <f>C60</f>
        <v>CLIPON</v>
      </c>
      <c r="D65" s="31"/>
      <c r="E65" s="38"/>
      <c r="F65" s="31"/>
      <c r="G65" s="31"/>
      <c r="H65" s="31"/>
      <c r="I65" s="42"/>
      <c r="J65" s="47"/>
      <c r="K65" s="47"/>
      <c r="L65" s="48"/>
      <c r="M65" s="45"/>
      <c r="N65" s="42"/>
      <c r="O65" s="47"/>
      <c r="P65" s="47"/>
      <c r="Q65" s="48"/>
      <c r="S65" s="68"/>
      <c r="T65" s="46"/>
      <c r="U65" s="69"/>
      <c r="W65" s="70"/>
      <c r="X65" s="71">
        <f t="shared" si="75"/>
        <v>0</v>
      </c>
    </row>
    <row r="66" spans="1:24" s="49" customFormat="1" ht="20.25" customHeight="1" x14ac:dyDescent="0.35">
      <c r="A66" s="50" t="s">
        <v>26</v>
      </c>
      <c r="B66" s="12"/>
      <c r="C66" s="12" t="str">
        <f>C65</f>
        <v>CLIPON</v>
      </c>
      <c r="D66" s="31"/>
      <c r="E66" s="51"/>
      <c r="F66" s="52"/>
      <c r="G66" s="52"/>
      <c r="H66" s="53" t="str">
        <f>E59&amp;" Total"</f>
        <v>CLIPON Total</v>
      </c>
      <c r="I66" s="54">
        <f>SUBTOTAL(9,I60:I65)</f>
        <v>8117</v>
      </c>
      <c r="J66" s="55">
        <f>SUBTOTAL(9,J60:J65)</f>
        <v>46055.67</v>
      </c>
      <c r="K66" s="55">
        <f>SUBTOTAL(9,K60:K65)</f>
        <v>23218.257599999997</v>
      </c>
      <c r="L66" s="56">
        <f>IF(J66=0,0,K66/J66)</f>
        <v>0.50413461795257775</v>
      </c>
      <c r="M66" s="57"/>
      <c r="N66" s="54">
        <f>SUBTOTAL(9,N60:N65)</f>
        <v>4967</v>
      </c>
      <c r="O66" s="55">
        <f>SUBTOTAL(9,O60:O65)</f>
        <v>25695.200000000004</v>
      </c>
      <c r="P66" s="55">
        <f t="shared" ref="P66" si="82">SUM(P60:P65)</f>
        <v>12892.8621</v>
      </c>
      <c r="Q66" s="56">
        <f t="shared" ref="Q66" si="83">IF(O66=0,0,P66/O66)</f>
        <v>0.50176150020237231</v>
      </c>
      <c r="R66" s="58"/>
      <c r="S66" s="72">
        <f t="shared" ref="S66:U66" si="84">SUBTOTAL(9,S60:S65)</f>
        <v>3150</v>
      </c>
      <c r="T66" s="59">
        <f t="shared" si="84"/>
        <v>20360.469999999998</v>
      </c>
      <c r="U66" s="73">
        <f t="shared" si="84"/>
        <v>10325.395499999997</v>
      </c>
      <c r="V66" s="58"/>
      <c r="W66" s="74">
        <f t="shared" ref="W66" si="85">L66-Q66</f>
        <v>2.3731177502054335E-3</v>
      </c>
      <c r="X66" s="71">
        <f t="shared" si="75"/>
        <v>2.3731177502054335E-3</v>
      </c>
    </row>
    <row r="67" spans="1:24" s="49" customFormat="1" ht="20.25" customHeight="1" x14ac:dyDescent="0.35">
      <c r="A67" s="50" t="s">
        <v>26</v>
      </c>
      <c r="B67" s="12"/>
      <c r="C67" s="12" t="str">
        <f>C66</f>
        <v>CLIPON</v>
      </c>
      <c r="D67" s="31"/>
      <c r="E67" s="101"/>
      <c r="F67" s="102"/>
      <c r="G67" s="102"/>
      <c r="H67" s="103"/>
      <c r="I67" s="104"/>
      <c r="J67" s="105"/>
      <c r="K67" s="105"/>
      <c r="L67" s="106"/>
      <c r="M67" s="57"/>
      <c r="N67" s="104"/>
      <c r="O67" s="105"/>
      <c r="P67" s="105"/>
      <c r="Q67" s="106"/>
      <c r="R67" s="58"/>
      <c r="S67" s="107"/>
      <c r="T67" s="108"/>
      <c r="U67" s="109"/>
      <c r="V67" s="58"/>
      <c r="W67" s="110"/>
      <c r="X67" s="75"/>
    </row>
    <row r="68" spans="1:24" ht="20.25" customHeight="1" x14ac:dyDescent="0.35">
      <c r="A68" s="12" t="s">
        <v>26</v>
      </c>
      <c r="B68" s="12"/>
      <c r="C68" s="12" t="str">
        <f>E68</f>
        <v>COMPUTER</v>
      </c>
      <c r="D68" s="31"/>
      <c r="E68" s="32" t="str">
        <f>"COMPUTER"</f>
        <v>COMPUTER</v>
      </c>
      <c r="F68" s="33"/>
      <c r="G68" s="33"/>
      <c r="H68" s="33"/>
      <c r="I68" s="34"/>
      <c r="J68" s="31"/>
      <c r="K68" s="31"/>
      <c r="L68" s="35"/>
      <c r="N68" s="36"/>
      <c r="O68" s="33"/>
      <c r="P68" s="33"/>
      <c r="Q68" s="37"/>
      <c r="S68" s="64"/>
      <c r="T68" s="65"/>
      <c r="U68" s="66"/>
      <c r="W68" s="67"/>
      <c r="X68" s="66"/>
    </row>
    <row r="69" spans="1:24" ht="20.25" customHeight="1" x14ac:dyDescent="0.35">
      <c r="A69" s="12" t="s">
        <v>26</v>
      </c>
      <c r="B69" s="12"/>
      <c r="C69" s="12" t="str">
        <f>C68</f>
        <v>COMPUTER</v>
      </c>
      <c r="D69" s="31"/>
      <c r="E69" s="38"/>
      <c r="F69" s="39" t="str">
        <f>"E100028"</f>
        <v>E100028</v>
      </c>
      <c r="G69" s="40" t="str">
        <f>"USB 4-Port Hub"</f>
        <v>USB 4-Port Hub</v>
      </c>
      <c r="H69" s="41">
        <v>1.86</v>
      </c>
      <c r="I69" s="42">
        <v>432</v>
      </c>
      <c r="J69" s="43">
        <v>1202.69</v>
      </c>
      <c r="K69" s="43">
        <f>J69-(I69*H69)</f>
        <v>399.16999999999996</v>
      </c>
      <c r="L69" s="44">
        <f>IF(J69=0,0,K69/J69)</f>
        <v>0.33189766273935922</v>
      </c>
      <c r="M69" s="45"/>
      <c r="N69" s="42">
        <v>576</v>
      </c>
      <c r="O69" s="43">
        <v>1625.71</v>
      </c>
      <c r="P69" s="43">
        <f t="shared" ref="P69" si="86">O69-(N69*$H69)</f>
        <v>554.34999999999991</v>
      </c>
      <c r="Q69" s="44">
        <f t="shared" ref="Q69" si="87">IF(O69=0,0,P69/O69)</f>
        <v>0.34098947536768542</v>
      </c>
      <c r="S69" s="68">
        <f t="shared" ref="S69" si="88">I69-N69</f>
        <v>-144</v>
      </c>
      <c r="T69" s="46">
        <f t="shared" ref="T69" si="89">J69-O69</f>
        <v>-423.02</v>
      </c>
      <c r="U69" s="69">
        <f t="shared" ref="U69" si="90">K69-P69</f>
        <v>-155.17999999999995</v>
      </c>
      <c r="W69" s="70">
        <f t="shared" ref="W69" si="91">L69-Q69</f>
        <v>-9.0918126283262013E-3</v>
      </c>
      <c r="X69" s="71">
        <f t="shared" ref="X69:X71" si="92">W69</f>
        <v>-9.0918126283262013E-3</v>
      </c>
    </row>
    <row r="70" spans="1:24" ht="17.25" customHeight="1" x14ac:dyDescent="0.3">
      <c r="A70" s="12" t="s">
        <v>26</v>
      </c>
      <c r="B70" s="12"/>
      <c r="C70" s="12" t="str">
        <f>C69</f>
        <v>COMPUTER</v>
      </c>
      <c r="D70" s="31"/>
      <c r="E70" s="38"/>
      <c r="F70" s="31"/>
      <c r="G70" s="31"/>
      <c r="H70" s="31"/>
      <c r="I70" s="42"/>
      <c r="J70" s="47"/>
      <c r="K70" s="47"/>
      <c r="L70" s="48"/>
      <c r="M70" s="45"/>
      <c r="N70" s="42"/>
      <c r="O70" s="47"/>
      <c r="P70" s="47"/>
      <c r="Q70" s="48"/>
      <c r="S70" s="68"/>
      <c r="T70" s="46"/>
      <c r="U70" s="69"/>
      <c r="W70" s="70"/>
      <c r="X70" s="71">
        <f t="shared" si="92"/>
        <v>0</v>
      </c>
    </row>
    <row r="71" spans="1:24" s="49" customFormat="1" ht="20.25" customHeight="1" x14ac:dyDescent="0.35">
      <c r="A71" s="50" t="s">
        <v>26</v>
      </c>
      <c r="B71" s="12"/>
      <c r="C71" s="12" t="str">
        <f>C70</f>
        <v>COMPUTER</v>
      </c>
      <c r="D71" s="31"/>
      <c r="E71" s="51"/>
      <c r="F71" s="52"/>
      <c r="G71" s="52"/>
      <c r="H71" s="53" t="str">
        <f>E68&amp;" Total"</f>
        <v>COMPUTER Total</v>
      </c>
      <c r="I71" s="54">
        <f>SUBTOTAL(9,I69:I70)</f>
        <v>432</v>
      </c>
      <c r="J71" s="55">
        <f>SUBTOTAL(9,J69:J70)</f>
        <v>1202.69</v>
      </c>
      <c r="K71" s="55">
        <f>SUBTOTAL(9,K69:K70)</f>
        <v>399.16999999999996</v>
      </c>
      <c r="L71" s="56">
        <f>IF(J71=0,0,K71/J71)</f>
        <v>0.33189766273935922</v>
      </c>
      <c r="M71" s="57"/>
      <c r="N71" s="54">
        <f>SUBTOTAL(9,N69:N70)</f>
        <v>576</v>
      </c>
      <c r="O71" s="55">
        <f>SUBTOTAL(9,O69:O70)</f>
        <v>1625.71</v>
      </c>
      <c r="P71" s="55">
        <f t="shared" ref="P71" si="93">SUM(P69:P70)</f>
        <v>554.34999999999991</v>
      </c>
      <c r="Q71" s="56">
        <f t="shared" ref="Q71" si="94">IF(O71=0,0,P71/O71)</f>
        <v>0.34098947536768542</v>
      </c>
      <c r="R71" s="58"/>
      <c r="S71" s="72">
        <f t="shared" ref="S71:U71" si="95">SUBTOTAL(9,S69:S70)</f>
        <v>-144</v>
      </c>
      <c r="T71" s="59">
        <f t="shared" si="95"/>
        <v>-423.02</v>
      </c>
      <c r="U71" s="73">
        <f t="shared" si="95"/>
        <v>-155.17999999999995</v>
      </c>
      <c r="V71" s="58"/>
      <c r="W71" s="74">
        <f t="shared" ref="W71" si="96">L71-Q71</f>
        <v>-9.0918126283262013E-3</v>
      </c>
      <c r="X71" s="71">
        <f t="shared" si="92"/>
        <v>-9.0918126283262013E-3</v>
      </c>
    </row>
    <row r="72" spans="1:24" s="49" customFormat="1" ht="20.25" customHeight="1" x14ac:dyDescent="0.35">
      <c r="A72" s="50" t="s">
        <v>26</v>
      </c>
      <c r="B72" s="12"/>
      <c r="C72" s="12" t="str">
        <f>C71</f>
        <v>COMPUTER</v>
      </c>
      <c r="D72" s="31"/>
      <c r="E72" s="101"/>
      <c r="F72" s="102"/>
      <c r="G72" s="102"/>
      <c r="H72" s="103"/>
      <c r="I72" s="104"/>
      <c r="J72" s="105"/>
      <c r="K72" s="105"/>
      <c r="L72" s="106"/>
      <c r="M72" s="57"/>
      <c r="N72" s="104"/>
      <c r="O72" s="105"/>
      <c r="P72" s="105"/>
      <c r="Q72" s="106"/>
      <c r="R72" s="58"/>
      <c r="S72" s="107"/>
      <c r="T72" s="108"/>
      <c r="U72" s="109"/>
      <c r="V72" s="58"/>
      <c r="W72" s="110"/>
      <c r="X72" s="75"/>
    </row>
    <row r="73" spans="1:24" ht="20.25" customHeight="1" x14ac:dyDescent="0.35">
      <c r="A73" s="12" t="s">
        <v>26</v>
      </c>
      <c r="B73" s="12"/>
      <c r="C73" s="12" t="str">
        <f>E73</f>
        <v>DESK CLOCK</v>
      </c>
      <c r="D73" s="31"/>
      <c r="E73" s="32" t="str">
        <f>"DESK CLOCK"</f>
        <v>DESK CLOCK</v>
      </c>
      <c r="F73" s="33"/>
      <c r="G73" s="33"/>
      <c r="H73" s="33"/>
      <c r="I73" s="34"/>
      <c r="J73" s="31"/>
      <c r="K73" s="31"/>
      <c r="L73" s="35"/>
      <c r="N73" s="36"/>
      <c r="O73" s="33"/>
      <c r="P73" s="33"/>
      <c r="Q73" s="37"/>
      <c r="S73" s="64"/>
      <c r="T73" s="65"/>
      <c r="U73" s="66"/>
      <c r="W73" s="67"/>
      <c r="X73" s="66"/>
    </row>
    <row r="74" spans="1:24" ht="20.25" customHeight="1" x14ac:dyDescent="0.35">
      <c r="A74" s="12" t="s">
        <v>26</v>
      </c>
      <c r="B74" s="12"/>
      <c r="C74" s="12" t="str">
        <f>C73</f>
        <v>DESK CLOCK</v>
      </c>
      <c r="D74" s="31"/>
      <c r="E74" s="38"/>
      <c r="F74" s="39" t="str">
        <f>"C100033"</f>
        <v>C100033</v>
      </c>
      <c r="G74" s="40" t="str">
        <f>"Frames &amp; Clock"</f>
        <v>Frames &amp; Clock</v>
      </c>
      <c r="H74" s="41">
        <v>2.88</v>
      </c>
      <c r="I74" s="42">
        <v>841.00000000000011</v>
      </c>
      <c r="J74" s="43">
        <v>3914.2099999999996</v>
      </c>
      <c r="K74" s="43">
        <f>J74-(I74*H74)</f>
        <v>1492.1299999999992</v>
      </c>
      <c r="L74" s="44">
        <f>IF(J74=0,0,K74/J74)</f>
        <v>0.38120846863096242</v>
      </c>
      <c r="M74" s="45"/>
      <c r="N74" s="42">
        <v>914</v>
      </c>
      <c r="O74" s="43">
        <v>4321.38</v>
      </c>
      <c r="P74" s="43">
        <f t="shared" ref="P74" si="97">O74-(N74*$H74)</f>
        <v>1689.0600000000004</v>
      </c>
      <c r="Q74" s="44">
        <f t="shared" ref="Q74" si="98">IF(O74=0,0,P74/O74)</f>
        <v>0.39086125265540184</v>
      </c>
      <c r="S74" s="68">
        <f t="shared" ref="S74" si="99">I74-N74</f>
        <v>-72.999999999999886</v>
      </c>
      <c r="T74" s="46">
        <f t="shared" ref="T74" si="100">J74-O74</f>
        <v>-407.17000000000053</v>
      </c>
      <c r="U74" s="69">
        <f t="shared" ref="U74" si="101">K74-P74</f>
        <v>-196.9300000000012</v>
      </c>
      <c r="W74" s="70">
        <f t="shared" ref="W74" si="102">L74-Q74</f>
        <v>-9.6527840244394203E-3</v>
      </c>
      <c r="X74" s="71">
        <f t="shared" ref="X74:X80" si="103">W74</f>
        <v>-9.6527840244394203E-3</v>
      </c>
    </row>
    <row r="75" spans="1:24" ht="20.25" customHeight="1" x14ac:dyDescent="0.35">
      <c r="A75" s="12" t="s">
        <v>26</v>
      </c>
      <c r="B75" s="12"/>
      <c r="C75" s="12" t="str">
        <f>C74</f>
        <v>DESK CLOCK</v>
      </c>
      <c r="D75" s="31"/>
      <c r="E75" s="38"/>
      <c r="F75" s="39" t="str">
        <f>"C100034"</f>
        <v>C100034</v>
      </c>
      <c r="G75" s="40" t="str">
        <f>"Clock &amp; Pen Holder"</f>
        <v>Clock &amp; Pen Holder</v>
      </c>
      <c r="H75" s="41">
        <v>9.8800000000000008</v>
      </c>
      <c r="I75" s="42">
        <v>157</v>
      </c>
      <c r="J75" s="43">
        <v>2394.09</v>
      </c>
      <c r="K75" s="43">
        <f>J75-(I75*H75)</f>
        <v>842.93000000000006</v>
      </c>
      <c r="L75" s="44">
        <f>IF(J75=0,0,K75/J75)</f>
        <v>0.35208784966312878</v>
      </c>
      <c r="M75" s="45"/>
      <c r="N75" s="42">
        <v>50</v>
      </c>
      <c r="O75" s="43">
        <v>784.15</v>
      </c>
      <c r="P75" s="43">
        <f t="shared" ref="P75:P78" si="104">O75-(N75*$H75)</f>
        <v>290.14999999999992</v>
      </c>
      <c r="Q75" s="44">
        <f t="shared" ref="Q75:Q78" si="105">IF(O75=0,0,P75/O75)</f>
        <v>0.37001849136007131</v>
      </c>
      <c r="S75" s="68">
        <f t="shared" ref="S75:S78" si="106">I75-N75</f>
        <v>107</v>
      </c>
      <c r="T75" s="46">
        <f t="shared" ref="T75:T78" si="107">J75-O75</f>
        <v>1609.94</v>
      </c>
      <c r="U75" s="69">
        <f t="shared" ref="U75:U78" si="108">K75-P75</f>
        <v>552.7800000000002</v>
      </c>
      <c r="W75" s="70">
        <f t="shared" ref="W75:W78" si="109">L75-Q75</f>
        <v>-1.7930641696942529E-2</v>
      </c>
      <c r="X75" s="71">
        <f t="shared" si="103"/>
        <v>-1.7930641696942529E-2</v>
      </c>
    </row>
    <row r="76" spans="1:24" ht="20.25" customHeight="1" x14ac:dyDescent="0.35">
      <c r="A76" s="12" t="s">
        <v>26</v>
      </c>
      <c r="B76" s="12"/>
      <c r="C76" s="12" t="str">
        <f>C75</f>
        <v>DESK CLOCK</v>
      </c>
      <c r="D76" s="31"/>
      <c r="E76" s="38"/>
      <c r="F76" s="39" t="str">
        <f>"C100035"</f>
        <v>C100035</v>
      </c>
      <c r="G76" s="40" t="str">
        <f>"Calculator &amp; World Time Clock"</f>
        <v>Calculator &amp; World Time Clock</v>
      </c>
      <c r="H76" s="41">
        <v>1.96</v>
      </c>
      <c r="I76" s="42">
        <v>950.99999999999989</v>
      </c>
      <c r="J76" s="43">
        <v>2718.16</v>
      </c>
      <c r="K76" s="43">
        <f>J76-(I76*H76)</f>
        <v>854.2</v>
      </c>
      <c r="L76" s="44">
        <f>IF(J76=0,0,K76/J76)</f>
        <v>0.31425670306383735</v>
      </c>
      <c r="M76" s="45"/>
      <c r="N76" s="42">
        <v>837.99999999999989</v>
      </c>
      <c r="O76" s="43">
        <v>2413.59</v>
      </c>
      <c r="P76" s="43">
        <f t="shared" si="104"/>
        <v>771.11000000000035</v>
      </c>
      <c r="Q76" s="44">
        <f t="shared" si="105"/>
        <v>0.31948673966995234</v>
      </c>
      <c r="S76" s="68">
        <f t="shared" si="106"/>
        <v>113</v>
      </c>
      <c r="T76" s="46">
        <f t="shared" si="107"/>
        <v>304.56999999999971</v>
      </c>
      <c r="U76" s="69">
        <f t="shared" si="108"/>
        <v>83.089999999999691</v>
      </c>
      <c r="W76" s="70">
        <f t="shared" si="109"/>
        <v>-5.230036606114985E-3</v>
      </c>
      <c r="X76" s="71">
        <f t="shared" si="103"/>
        <v>-5.230036606114985E-3</v>
      </c>
    </row>
    <row r="77" spans="1:24" ht="20.25" customHeight="1" x14ac:dyDescent="0.35">
      <c r="A77" s="12" t="s">
        <v>26</v>
      </c>
      <c r="B77" s="12"/>
      <c r="C77" s="12" t="str">
        <f>C76</f>
        <v>DESK CLOCK</v>
      </c>
      <c r="D77" s="31"/>
      <c r="E77" s="38"/>
      <c r="F77" s="39" t="str">
        <f>"C100036"</f>
        <v>C100036</v>
      </c>
      <c r="G77" s="40" t="str">
        <f>"Clock &amp; Business Card Holder"</f>
        <v>Clock &amp; Business Card Holder</v>
      </c>
      <c r="H77" s="41">
        <v>4.68</v>
      </c>
      <c r="I77" s="42">
        <v>152</v>
      </c>
      <c r="J77" s="43">
        <v>1280.3</v>
      </c>
      <c r="K77" s="43">
        <f>J77-(I77*H77)</f>
        <v>568.94000000000005</v>
      </c>
      <c r="L77" s="44">
        <f>IF(J77=0,0,K77/J77)</f>
        <v>0.44438022338514416</v>
      </c>
      <c r="M77" s="45"/>
      <c r="N77" s="42">
        <v>184</v>
      </c>
      <c r="O77" s="43">
        <v>1546.0800000000002</v>
      </c>
      <c r="P77" s="43">
        <f t="shared" si="104"/>
        <v>684.96000000000026</v>
      </c>
      <c r="Q77" s="44">
        <f t="shared" si="105"/>
        <v>0.44303011487115818</v>
      </c>
      <c r="S77" s="68">
        <f t="shared" si="106"/>
        <v>-32</v>
      </c>
      <c r="T77" s="46">
        <f t="shared" si="107"/>
        <v>-265.7800000000002</v>
      </c>
      <c r="U77" s="69">
        <f t="shared" si="108"/>
        <v>-116.02000000000021</v>
      </c>
      <c r="W77" s="70">
        <f t="shared" si="109"/>
        <v>1.3501085139859814E-3</v>
      </c>
      <c r="X77" s="71">
        <f t="shared" si="103"/>
        <v>1.3501085139859814E-3</v>
      </c>
    </row>
    <row r="78" spans="1:24" ht="20.25" customHeight="1" x14ac:dyDescent="0.35">
      <c r="A78" s="12" t="s">
        <v>26</v>
      </c>
      <c r="B78" s="12"/>
      <c r="C78" s="12" t="str">
        <f>C77</f>
        <v>DESK CLOCK</v>
      </c>
      <c r="D78" s="31"/>
      <c r="E78" s="38"/>
      <c r="F78" s="39" t="str">
        <f>"E100018"</f>
        <v>E100018</v>
      </c>
      <c r="G78" s="40" t="str">
        <f>"Flexi-Clock &amp; Clip"</f>
        <v>Flexi-Clock &amp; Clip</v>
      </c>
      <c r="H78" s="41">
        <v>0.60019999999999996</v>
      </c>
      <c r="I78" s="42">
        <v>2569</v>
      </c>
      <c r="J78" s="43">
        <v>2763.41</v>
      </c>
      <c r="K78" s="43">
        <f>J78-(I78*H78)</f>
        <v>1221.4962</v>
      </c>
      <c r="L78" s="44">
        <f>IF(J78=0,0,K78/J78)</f>
        <v>0.44202496191299884</v>
      </c>
      <c r="M78" s="45"/>
      <c r="N78" s="42">
        <v>2904</v>
      </c>
      <c r="O78" s="43">
        <v>3185.7000000000003</v>
      </c>
      <c r="P78" s="43">
        <f t="shared" si="104"/>
        <v>1442.7192000000005</v>
      </c>
      <c r="Q78" s="44">
        <f t="shared" si="105"/>
        <v>0.45287352858084579</v>
      </c>
      <c r="S78" s="68">
        <f t="shared" si="106"/>
        <v>-335</v>
      </c>
      <c r="T78" s="46">
        <f t="shared" si="107"/>
        <v>-422.29000000000042</v>
      </c>
      <c r="U78" s="69">
        <f t="shared" si="108"/>
        <v>-221.22300000000041</v>
      </c>
      <c r="W78" s="70">
        <f t="shared" si="109"/>
        <v>-1.0848566667846948E-2</v>
      </c>
      <c r="X78" s="71">
        <f t="shared" si="103"/>
        <v>-1.0848566667846948E-2</v>
      </c>
    </row>
    <row r="79" spans="1:24" ht="17.25" customHeight="1" x14ac:dyDescent="0.3">
      <c r="A79" s="12" t="s">
        <v>26</v>
      </c>
      <c r="B79" s="12"/>
      <c r="C79" s="12" t="str">
        <f>C74</f>
        <v>DESK CLOCK</v>
      </c>
      <c r="D79" s="31"/>
      <c r="E79" s="38"/>
      <c r="F79" s="31"/>
      <c r="G79" s="31"/>
      <c r="H79" s="31"/>
      <c r="I79" s="42"/>
      <c r="J79" s="47"/>
      <c r="K79" s="47"/>
      <c r="L79" s="48"/>
      <c r="M79" s="45"/>
      <c r="N79" s="42"/>
      <c r="O79" s="47"/>
      <c r="P79" s="47"/>
      <c r="Q79" s="48"/>
      <c r="S79" s="68"/>
      <c r="T79" s="46"/>
      <c r="U79" s="69"/>
      <c r="W79" s="70"/>
      <c r="X79" s="71">
        <f t="shared" si="103"/>
        <v>0</v>
      </c>
    </row>
    <row r="80" spans="1:24" s="49" customFormat="1" ht="20.25" customHeight="1" x14ac:dyDescent="0.35">
      <c r="A80" s="50" t="s">
        <v>26</v>
      </c>
      <c r="B80" s="12"/>
      <c r="C80" s="12" t="str">
        <f>C79</f>
        <v>DESK CLOCK</v>
      </c>
      <c r="D80" s="31"/>
      <c r="E80" s="51"/>
      <c r="F80" s="52"/>
      <c r="G80" s="52"/>
      <c r="H80" s="53" t="str">
        <f>E73&amp;" Total"</f>
        <v>DESK CLOCK Total</v>
      </c>
      <c r="I80" s="54">
        <f>SUBTOTAL(9,I74:I79)</f>
        <v>4670</v>
      </c>
      <c r="J80" s="55">
        <f>SUBTOTAL(9,J74:J79)</f>
        <v>13070.169999999998</v>
      </c>
      <c r="K80" s="55">
        <f>SUBTOTAL(9,K74:K79)</f>
        <v>4979.6961999999994</v>
      </c>
      <c r="L80" s="56">
        <f>IF(J80=0,0,K80/J80)</f>
        <v>0.38099704900548348</v>
      </c>
      <c r="M80" s="57"/>
      <c r="N80" s="54">
        <f>SUBTOTAL(9,N74:N79)</f>
        <v>4890</v>
      </c>
      <c r="O80" s="55">
        <f>SUBTOTAL(9,O74:O79)</f>
        <v>12250.900000000001</v>
      </c>
      <c r="P80" s="55">
        <f t="shared" ref="P80" si="110">SUM(P74:P79)</f>
        <v>4877.9992000000011</v>
      </c>
      <c r="Q80" s="56">
        <f t="shared" ref="Q80" si="111">IF(O80=0,0,P80/O80)</f>
        <v>0.39817476267049773</v>
      </c>
      <c r="R80" s="58"/>
      <c r="S80" s="72">
        <f t="shared" ref="S80:U80" si="112">SUBTOTAL(9,S74:S79)</f>
        <v>-219.99999999999989</v>
      </c>
      <c r="T80" s="59">
        <f t="shared" si="112"/>
        <v>819.26999999999862</v>
      </c>
      <c r="U80" s="73">
        <f t="shared" si="112"/>
        <v>101.69699999999807</v>
      </c>
      <c r="V80" s="58"/>
      <c r="W80" s="74">
        <f t="shared" ref="W80" si="113">L80-Q80</f>
        <v>-1.7177713665014249E-2</v>
      </c>
      <c r="X80" s="71">
        <f t="shared" si="103"/>
        <v>-1.7177713665014249E-2</v>
      </c>
    </row>
    <row r="81" spans="1:24" s="49" customFormat="1" ht="20.25" customHeight="1" x14ac:dyDescent="0.35">
      <c r="A81" s="50" t="s">
        <v>26</v>
      </c>
      <c r="B81" s="12"/>
      <c r="C81" s="12" t="str">
        <f>C80</f>
        <v>DESK CLOCK</v>
      </c>
      <c r="D81" s="31"/>
      <c r="E81" s="101"/>
      <c r="F81" s="102"/>
      <c r="G81" s="102"/>
      <c r="H81" s="103"/>
      <c r="I81" s="104"/>
      <c r="J81" s="105"/>
      <c r="K81" s="105"/>
      <c r="L81" s="106"/>
      <c r="M81" s="57"/>
      <c r="N81" s="104"/>
      <c r="O81" s="105"/>
      <c r="P81" s="105"/>
      <c r="Q81" s="106"/>
      <c r="R81" s="58"/>
      <c r="S81" s="107"/>
      <c r="T81" s="108"/>
      <c r="U81" s="109"/>
      <c r="V81" s="58"/>
      <c r="W81" s="110"/>
      <c r="X81" s="75"/>
    </row>
    <row r="82" spans="1:24" ht="20.25" customHeight="1" x14ac:dyDescent="0.35">
      <c r="A82" s="12" t="s">
        <v>26</v>
      </c>
      <c r="B82" s="12"/>
      <c r="C82" s="12" t="str">
        <f>E82</f>
        <v>EMBLEM</v>
      </c>
      <c r="D82" s="31"/>
      <c r="E82" s="32" t="str">
        <f>"EMBLEM"</f>
        <v>EMBLEM</v>
      </c>
      <c r="F82" s="33"/>
      <c r="G82" s="33"/>
      <c r="H82" s="33"/>
      <c r="I82" s="34"/>
      <c r="J82" s="31"/>
      <c r="K82" s="31"/>
      <c r="L82" s="35"/>
      <c r="N82" s="36"/>
      <c r="O82" s="33"/>
      <c r="P82" s="33"/>
      <c r="Q82" s="37"/>
      <c r="S82" s="64"/>
      <c r="T82" s="65"/>
      <c r="U82" s="66"/>
      <c r="W82" s="67"/>
      <c r="X82" s="66"/>
    </row>
    <row r="83" spans="1:24" ht="20.25" customHeight="1" x14ac:dyDescent="0.35">
      <c r="A83" s="12" t="s">
        <v>26</v>
      </c>
      <c r="B83" s="12"/>
      <c r="C83" s="12" t="str">
        <f>C82</f>
        <v>EMBLEM</v>
      </c>
      <c r="D83" s="31"/>
      <c r="E83" s="38"/>
      <c r="F83" s="39" t="str">
        <f>"C100002"</f>
        <v>C100002</v>
      </c>
      <c r="G83" s="40" t="str">
        <f>"Border Style"</f>
        <v>Border Style</v>
      </c>
      <c r="H83" s="41">
        <v>31.95</v>
      </c>
      <c r="I83" s="42">
        <v>145</v>
      </c>
      <c r="J83" s="43">
        <v>7375.23</v>
      </c>
      <c r="K83" s="43">
        <f>J83-(I83*H83)</f>
        <v>2742.4799999999996</v>
      </c>
      <c r="L83" s="44">
        <f>IF(J83=0,0,K83/J83)</f>
        <v>0.37185009823422455</v>
      </c>
      <c r="M83" s="45"/>
      <c r="N83" s="42">
        <v>169</v>
      </c>
      <c r="O83" s="43">
        <v>9060.41</v>
      </c>
      <c r="P83" s="43">
        <f t="shared" ref="P83" si="114">O83-(N83*$H83)</f>
        <v>3660.8599999999997</v>
      </c>
      <c r="Q83" s="44">
        <f t="shared" ref="Q83" si="115">IF(O83=0,0,P83/O83)</f>
        <v>0.40405014784099169</v>
      </c>
      <c r="S83" s="68">
        <f t="shared" ref="S83" si="116">I83-N83</f>
        <v>-24</v>
      </c>
      <c r="T83" s="46">
        <f t="shared" ref="T83" si="117">J83-O83</f>
        <v>-1685.1800000000003</v>
      </c>
      <c r="U83" s="69">
        <f t="shared" ref="U83" si="118">K83-P83</f>
        <v>-918.38000000000011</v>
      </c>
      <c r="W83" s="70">
        <f t="shared" ref="W83" si="119">L83-Q83</f>
        <v>-3.2200049606767145E-2</v>
      </c>
      <c r="X83" s="71">
        <f t="shared" ref="X83:X103" si="120">W83</f>
        <v>-3.2200049606767145E-2</v>
      </c>
    </row>
    <row r="84" spans="1:24" ht="20.25" customHeight="1" x14ac:dyDescent="0.35">
      <c r="A84" s="12" t="s">
        <v>26</v>
      </c>
      <c r="B84" s="12"/>
      <c r="C84" s="12" t="str">
        <f>C83</f>
        <v>EMBLEM</v>
      </c>
      <c r="D84" s="31"/>
      <c r="E84" s="38"/>
      <c r="F84" s="39" t="str">
        <f>"C100003"</f>
        <v>C100003</v>
      </c>
      <c r="G84" s="40" t="str">
        <f>"Cherry Finish Frame"</f>
        <v>Cherry Finish Frame</v>
      </c>
      <c r="H84" s="41">
        <v>32.64</v>
      </c>
      <c r="I84" s="42">
        <v>288</v>
      </c>
      <c r="J84" s="43">
        <v>18607.28</v>
      </c>
      <c r="K84" s="43">
        <f>J84-(I84*H84)</f>
        <v>9206.9599999999991</v>
      </c>
      <c r="L84" s="44">
        <f>IF(J84=0,0,K84/J84)</f>
        <v>0.49480418416877692</v>
      </c>
      <c r="M84" s="45"/>
      <c r="N84" s="42">
        <v>385</v>
      </c>
      <c r="O84" s="43">
        <v>25515.79</v>
      </c>
      <c r="P84" s="43">
        <f t="shared" ref="P84:P101" si="121">O84-(N84*$H84)</f>
        <v>12949.390000000001</v>
      </c>
      <c r="Q84" s="44">
        <f t="shared" ref="Q84:Q101" si="122">IF(O84=0,0,P84/O84)</f>
        <v>0.50750496065377559</v>
      </c>
      <c r="S84" s="68">
        <f t="shared" ref="S84:S101" si="123">I84-N84</f>
        <v>-97</v>
      </c>
      <c r="T84" s="46">
        <f t="shared" ref="T84:T101" si="124">J84-O84</f>
        <v>-6908.510000000002</v>
      </c>
      <c r="U84" s="69">
        <f t="shared" ref="U84:U101" si="125">K84-P84</f>
        <v>-3742.4300000000021</v>
      </c>
      <c r="W84" s="70">
        <f t="shared" ref="W84:W101" si="126">L84-Q84</f>
        <v>-1.2700776484998677E-2</v>
      </c>
      <c r="X84" s="71">
        <f t="shared" si="120"/>
        <v>-1.2700776484998677E-2</v>
      </c>
    </row>
    <row r="85" spans="1:24" ht="20.25" customHeight="1" x14ac:dyDescent="0.35">
      <c r="A85" s="12" t="s">
        <v>26</v>
      </c>
      <c r="B85" s="12"/>
      <c r="C85" s="12" t="str">
        <f>C84</f>
        <v>EMBLEM</v>
      </c>
      <c r="D85" s="31"/>
      <c r="E85" s="38"/>
      <c r="F85" s="39" t="str">
        <f>"C100004"</f>
        <v>C100004</v>
      </c>
      <c r="G85" s="40" t="str">
        <f>"Walnut Medallian Plate"</f>
        <v>Walnut Medallian Plate</v>
      </c>
      <c r="H85" s="41">
        <v>30.600100000000001</v>
      </c>
      <c r="I85" s="42">
        <v>1070</v>
      </c>
      <c r="J85" s="43">
        <v>61475.439999999995</v>
      </c>
      <c r="K85" s="43">
        <f>J85-(I85*H85)</f>
        <v>28733.332999999995</v>
      </c>
      <c r="L85" s="44">
        <f>IF(J85=0,0,K85/J85)</f>
        <v>0.4673953207980292</v>
      </c>
      <c r="M85" s="45"/>
      <c r="N85" s="42">
        <v>1249</v>
      </c>
      <c r="O85" s="43">
        <v>71260.5</v>
      </c>
      <c r="P85" s="43">
        <f t="shared" si="121"/>
        <v>33040.975099999996</v>
      </c>
      <c r="Q85" s="44">
        <f t="shared" si="122"/>
        <v>0.46366465433164228</v>
      </c>
      <c r="S85" s="68">
        <f t="shared" si="123"/>
        <v>-179</v>
      </c>
      <c r="T85" s="46">
        <f t="shared" si="124"/>
        <v>-9785.0600000000049</v>
      </c>
      <c r="U85" s="69">
        <f t="shared" si="125"/>
        <v>-4307.6421000000009</v>
      </c>
      <c r="W85" s="70">
        <f t="shared" si="126"/>
        <v>3.7306664663869227E-3</v>
      </c>
      <c r="X85" s="71">
        <f t="shared" si="120"/>
        <v>3.7306664663869227E-3</v>
      </c>
    </row>
    <row r="86" spans="1:24" ht="20.25" customHeight="1" x14ac:dyDescent="0.35">
      <c r="A86" s="12" t="s">
        <v>26</v>
      </c>
      <c r="B86" s="12"/>
      <c r="C86" s="12" t="str">
        <f>C85</f>
        <v>EMBLEM</v>
      </c>
      <c r="D86" s="31"/>
      <c r="E86" s="38"/>
      <c r="F86" s="39" t="str">
        <f>"C100005"</f>
        <v>C100005</v>
      </c>
      <c r="G86" s="40" t="str">
        <f>"Cherry Finished Crystal Award"</f>
        <v>Cherry Finished Crystal Award</v>
      </c>
      <c r="H86" s="41">
        <v>70.930000000000007</v>
      </c>
      <c r="I86" s="42">
        <v>652</v>
      </c>
      <c r="J86" s="43">
        <v>85601.58</v>
      </c>
      <c r="K86" s="43">
        <f>J86-(I86*H86)</f>
        <v>39355.219999999994</v>
      </c>
      <c r="L86" s="44">
        <f>IF(J86=0,0,K86/J86)</f>
        <v>0.45974875697387818</v>
      </c>
      <c r="M86" s="45"/>
      <c r="N86" s="42">
        <v>344</v>
      </c>
      <c r="O86" s="43">
        <v>46606.47</v>
      </c>
      <c r="P86" s="43">
        <f t="shared" si="121"/>
        <v>22206.55</v>
      </c>
      <c r="Q86" s="44">
        <f t="shared" si="122"/>
        <v>0.47646925416149299</v>
      </c>
      <c r="S86" s="68">
        <f t="shared" si="123"/>
        <v>308</v>
      </c>
      <c r="T86" s="46">
        <f t="shared" si="124"/>
        <v>38995.11</v>
      </c>
      <c r="U86" s="69">
        <f t="shared" si="125"/>
        <v>17148.669999999995</v>
      </c>
      <c r="W86" s="70">
        <f t="shared" si="126"/>
        <v>-1.6720497187614813E-2</v>
      </c>
      <c r="X86" s="71">
        <f t="shared" si="120"/>
        <v>-1.6720497187614813E-2</v>
      </c>
    </row>
    <row r="87" spans="1:24" ht="20.25" customHeight="1" x14ac:dyDescent="0.35">
      <c r="A87" s="12" t="s">
        <v>26</v>
      </c>
      <c r="B87" s="12"/>
      <c r="C87" s="12" t="str">
        <f>C86</f>
        <v>EMBLEM</v>
      </c>
      <c r="D87" s="31"/>
      <c r="E87" s="38"/>
      <c r="F87" s="39" t="str">
        <f>"C100006"</f>
        <v>C100006</v>
      </c>
      <c r="G87" s="40" t="str">
        <f>"Cherry Finished Crystal Award- Large"</f>
        <v>Cherry Finished Crystal Award- Large</v>
      </c>
      <c r="H87" s="41">
        <v>95.04</v>
      </c>
      <c r="I87" s="42">
        <v>445.00000000000006</v>
      </c>
      <c r="J87" s="43">
        <v>89095.360000000001</v>
      </c>
      <c r="K87" s="43">
        <f>J87-(I87*H87)</f>
        <v>46802.55999999999</v>
      </c>
      <c r="L87" s="44">
        <f>IF(J87=0,0,K87/J87)</f>
        <v>0.5253086131533673</v>
      </c>
      <c r="M87" s="45"/>
      <c r="N87" s="42">
        <v>236</v>
      </c>
      <c r="O87" s="43">
        <v>47768.700000000004</v>
      </c>
      <c r="P87" s="43">
        <f t="shared" si="121"/>
        <v>25339.260000000002</v>
      </c>
      <c r="Q87" s="44">
        <f t="shared" si="122"/>
        <v>0.53045739155555838</v>
      </c>
      <c r="S87" s="68">
        <f t="shared" si="123"/>
        <v>209.00000000000006</v>
      </c>
      <c r="T87" s="46">
        <f t="shared" si="124"/>
        <v>41326.659999999996</v>
      </c>
      <c r="U87" s="69">
        <f t="shared" si="125"/>
        <v>21463.299999999988</v>
      </c>
      <c r="W87" s="70">
        <f t="shared" si="126"/>
        <v>-5.1487784021910787E-3</v>
      </c>
      <c r="X87" s="71">
        <f t="shared" si="120"/>
        <v>-5.1487784021910787E-3</v>
      </c>
    </row>
    <row r="88" spans="1:24" ht="20.25" customHeight="1" x14ac:dyDescent="0.35">
      <c r="A88" s="12" t="s">
        <v>26</v>
      </c>
      <c r="B88" s="12"/>
      <c r="C88" s="12" t="str">
        <f>C87</f>
        <v>EMBLEM</v>
      </c>
      <c r="D88" s="31"/>
      <c r="E88" s="38"/>
      <c r="F88" s="39" t="str">
        <f>"C100007"</f>
        <v>C100007</v>
      </c>
      <c r="G88" s="40" t="str">
        <f>"7.5'' Bud Vase"</f>
        <v>7.5'' Bud Vase</v>
      </c>
      <c r="H88" s="41">
        <v>1.02</v>
      </c>
      <c r="I88" s="42">
        <v>466</v>
      </c>
      <c r="J88" s="43">
        <v>758.3900000000001</v>
      </c>
      <c r="K88" s="43">
        <f>J88-(I88*H88)</f>
        <v>283.07000000000011</v>
      </c>
      <c r="L88" s="44">
        <f>IF(J88=0,0,K88/J88)</f>
        <v>0.3732512295784492</v>
      </c>
      <c r="M88" s="45"/>
      <c r="N88" s="42">
        <v>199</v>
      </c>
      <c r="O88" s="43">
        <v>330.39</v>
      </c>
      <c r="P88" s="43">
        <f t="shared" si="121"/>
        <v>127.41</v>
      </c>
      <c r="Q88" s="44">
        <f t="shared" si="122"/>
        <v>0.38563515844910562</v>
      </c>
      <c r="S88" s="68">
        <f t="shared" si="123"/>
        <v>267</v>
      </c>
      <c r="T88" s="46">
        <f t="shared" si="124"/>
        <v>428.00000000000011</v>
      </c>
      <c r="U88" s="69">
        <f t="shared" si="125"/>
        <v>155.66000000000011</v>
      </c>
      <c r="W88" s="70">
        <f t="shared" si="126"/>
        <v>-1.2383928870656424E-2</v>
      </c>
      <c r="X88" s="71">
        <f t="shared" si="120"/>
        <v>-1.2383928870656424E-2</v>
      </c>
    </row>
    <row r="89" spans="1:24" ht="20.25" customHeight="1" x14ac:dyDescent="0.35">
      <c r="A89" s="12" t="s">
        <v>26</v>
      </c>
      <c r="B89" s="12"/>
      <c r="C89" s="12" t="str">
        <f>C88</f>
        <v>EMBLEM</v>
      </c>
      <c r="D89" s="31"/>
      <c r="E89" s="38"/>
      <c r="F89" s="39" t="str">
        <f>"C100008"</f>
        <v>C100008</v>
      </c>
      <c r="G89" s="40" t="str">
        <f>"Glacier Vase"</f>
        <v>Glacier Vase</v>
      </c>
      <c r="H89" s="41">
        <v>4.25</v>
      </c>
      <c r="I89" s="42">
        <v>446</v>
      </c>
      <c r="J89" s="43">
        <v>3915.74</v>
      </c>
      <c r="K89" s="43">
        <f>J89-(I89*H89)</f>
        <v>2020.2399999999998</v>
      </c>
      <c r="L89" s="44">
        <f>IF(J89=0,0,K89/J89)</f>
        <v>0.51592802382180636</v>
      </c>
      <c r="M89" s="45"/>
      <c r="N89" s="42">
        <v>12</v>
      </c>
      <c r="O89" s="43">
        <v>105.34</v>
      </c>
      <c r="P89" s="43">
        <f t="shared" si="121"/>
        <v>54.34</v>
      </c>
      <c r="Q89" s="44">
        <f t="shared" si="122"/>
        <v>0.51585342699829129</v>
      </c>
      <c r="S89" s="68">
        <f t="shared" si="123"/>
        <v>434</v>
      </c>
      <c r="T89" s="46">
        <f t="shared" si="124"/>
        <v>3810.3999999999996</v>
      </c>
      <c r="U89" s="69">
        <f t="shared" si="125"/>
        <v>1965.8999999999999</v>
      </c>
      <c r="W89" s="70">
        <f t="shared" si="126"/>
        <v>7.4596823515071797E-5</v>
      </c>
      <c r="X89" s="71">
        <f t="shared" si="120"/>
        <v>7.4596823515071797E-5</v>
      </c>
    </row>
    <row r="90" spans="1:24" ht="20.25" customHeight="1" x14ac:dyDescent="0.35">
      <c r="A90" s="12" t="s">
        <v>26</v>
      </c>
      <c r="B90" s="12"/>
      <c r="C90" s="12" t="str">
        <f>C89</f>
        <v>EMBLEM</v>
      </c>
      <c r="D90" s="31"/>
      <c r="E90" s="38"/>
      <c r="F90" s="39" t="str">
        <f>"C100009"</f>
        <v>C100009</v>
      </c>
      <c r="G90" s="40" t="str">
        <f>"Normandy Vase"</f>
        <v>Normandy Vase</v>
      </c>
      <c r="H90" s="41">
        <v>25.520299999999999</v>
      </c>
      <c r="I90" s="42">
        <v>74</v>
      </c>
      <c r="J90" s="43">
        <v>2868.2999999999997</v>
      </c>
      <c r="K90" s="43">
        <f>J90-(I90*H90)</f>
        <v>979.79779999999982</v>
      </c>
      <c r="L90" s="44">
        <f>IF(J90=0,0,K90/J90)</f>
        <v>0.34159530035212493</v>
      </c>
      <c r="M90" s="45"/>
      <c r="N90" s="42">
        <v>120.99999999999999</v>
      </c>
      <c r="O90" s="43">
        <v>4671.7000000000007</v>
      </c>
      <c r="P90" s="43">
        <f t="shared" si="121"/>
        <v>1583.7437000000014</v>
      </c>
      <c r="Q90" s="44">
        <f t="shared" si="122"/>
        <v>0.33900800565104805</v>
      </c>
      <c r="S90" s="68">
        <f t="shared" si="123"/>
        <v>-46.999999999999986</v>
      </c>
      <c r="T90" s="46">
        <f t="shared" si="124"/>
        <v>-1803.400000000001</v>
      </c>
      <c r="U90" s="69">
        <f t="shared" si="125"/>
        <v>-603.94590000000153</v>
      </c>
      <c r="W90" s="70">
        <f t="shared" si="126"/>
        <v>2.587294701076881E-3</v>
      </c>
      <c r="X90" s="71">
        <f t="shared" si="120"/>
        <v>2.587294701076881E-3</v>
      </c>
    </row>
    <row r="91" spans="1:24" ht="20.25" customHeight="1" x14ac:dyDescent="0.35">
      <c r="A91" s="12" t="s">
        <v>26</v>
      </c>
      <c r="B91" s="12"/>
      <c r="C91" s="12" t="str">
        <f>C90</f>
        <v>EMBLEM</v>
      </c>
      <c r="D91" s="31"/>
      <c r="E91" s="38"/>
      <c r="F91" s="39" t="str">
        <f>"C100010"</f>
        <v>C100010</v>
      </c>
      <c r="G91" s="40" t="str">
        <f>"Wisper-Cut Vase"</f>
        <v>Wisper-Cut Vase</v>
      </c>
      <c r="H91" s="41">
        <v>40.250100000000003</v>
      </c>
      <c r="I91" s="42">
        <v>120</v>
      </c>
      <c r="J91" s="43">
        <v>9650.23</v>
      </c>
      <c r="K91" s="43">
        <f>J91-(I91*H91)</f>
        <v>4820.2179999999989</v>
      </c>
      <c r="L91" s="44">
        <f>IF(J91=0,0,K91/J91)</f>
        <v>0.49949255095474399</v>
      </c>
      <c r="M91" s="45"/>
      <c r="N91" s="42">
        <v>49</v>
      </c>
      <c r="O91" s="43">
        <v>3999.07</v>
      </c>
      <c r="P91" s="43">
        <f t="shared" si="121"/>
        <v>2026.8151</v>
      </c>
      <c r="Q91" s="44">
        <f t="shared" si="122"/>
        <v>0.50682161102456325</v>
      </c>
      <c r="S91" s="68">
        <f t="shared" si="123"/>
        <v>71</v>
      </c>
      <c r="T91" s="46">
        <f t="shared" si="124"/>
        <v>5651.16</v>
      </c>
      <c r="U91" s="69">
        <f t="shared" si="125"/>
        <v>2793.4028999999991</v>
      </c>
      <c r="W91" s="70">
        <f t="shared" si="126"/>
        <v>-7.3290600698192598E-3</v>
      </c>
      <c r="X91" s="71">
        <f t="shared" si="120"/>
        <v>-7.3290600698192598E-3</v>
      </c>
    </row>
    <row r="92" spans="1:24" ht="20.25" customHeight="1" x14ac:dyDescent="0.35">
      <c r="A92" s="12" t="s">
        <v>26</v>
      </c>
      <c r="B92" s="12"/>
      <c r="C92" s="12" t="str">
        <f>C91</f>
        <v>EMBLEM</v>
      </c>
      <c r="D92" s="31"/>
      <c r="E92" s="38"/>
      <c r="F92" s="39" t="str">
        <f>"C100011"</f>
        <v>C100011</v>
      </c>
      <c r="G92" s="40" t="str">
        <f>"Winter Frost Vase"</f>
        <v>Winter Frost Vase</v>
      </c>
      <c r="H92" s="41">
        <v>38.6999</v>
      </c>
      <c r="I92" s="42">
        <v>146</v>
      </c>
      <c r="J92" s="43">
        <v>8314.1400000000012</v>
      </c>
      <c r="K92" s="43">
        <f>J92-(I92*H92)</f>
        <v>2663.9546000000009</v>
      </c>
      <c r="L92" s="44">
        <f>IF(J92=0,0,K92/J92)</f>
        <v>0.32041252613018312</v>
      </c>
      <c r="M92" s="45"/>
      <c r="N92" s="42">
        <v>49</v>
      </c>
      <c r="O92" s="43">
        <v>2812.0499999999997</v>
      </c>
      <c r="P92" s="43">
        <f t="shared" si="121"/>
        <v>915.75489999999968</v>
      </c>
      <c r="Q92" s="44">
        <f t="shared" si="122"/>
        <v>0.3256538468377162</v>
      </c>
      <c r="S92" s="68">
        <f t="shared" si="123"/>
        <v>97</v>
      </c>
      <c r="T92" s="46">
        <f t="shared" si="124"/>
        <v>5502.090000000002</v>
      </c>
      <c r="U92" s="69">
        <f t="shared" si="125"/>
        <v>1748.1997000000013</v>
      </c>
      <c r="W92" s="70">
        <f t="shared" si="126"/>
        <v>-5.2413207075330814E-3</v>
      </c>
      <c r="X92" s="71">
        <f t="shared" si="120"/>
        <v>-5.2413207075330814E-3</v>
      </c>
    </row>
    <row r="93" spans="1:24" ht="20.25" customHeight="1" x14ac:dyDescent="0.35">
      <c r="A93" s="12" t="s">
        <v>26</v>
      </c>
      <c r="B93" s="12"/>
      <c r="C93" s="12" t="str">
        <f>C92</f>
        <v>EMBLEM</v>
      </c>
      <c r="D93" s="31"/>
      <c r="E93" s="38"/>
      <c r="F93" s="39" t="str">
        <f>"S100001"</f>
        <v>S100001</v>
      </c>
      <c r="G93" s="40" t="str">
        <f>"Basketball Graphic Plaque"</f>
        <v>Basketball Graphic Plaque</v>
      </c>
      <c r="H93" s="41">
        <v>9.1</v>
      </c>
      <c r="I93" s="42">
        <v>722</v>
      </c>
      <c r="J93" s="43">
        <v>11579.130000000001</v>
      </c>
      <c r="K93" s="43">
        <f>J93-(I93*H93)</f>
        <v>5008.9300000000012</v>
      </c>
      <c r="L93" s="44">
        <f>IF(J93=0,0,K93/J93)</f>
        <v>0.43258258608375594</v>
      </c>
      <c r="M93" s="45"/>
      <c r="N93" s="42">
        <v>1296</v>
      </c>
      <c r="O93" s="43">
        <v>21020.1</v>
      </c>
      <c r="P93" s="43">
        <f t="shared" si="121"/>
        <v>9226.4999999999982</v>
      </c>
      <c r="Q93" s="44">
        <f t="shared" si="122"/>
        <v>0.43893701742617774</v>
      </c>
      <c r="S93" s="68">
        <f t="shared" si="123"/>
        <v>-574</v>
      </c>
      <c r="T93" s="46">
        <f t="shared" si="124"/>
        <v>-9440.9699999999975</v>
      </c>
      <c r="U93" s="69">
        <f t="shared" si="125"/>
        <v>-4217.569999999997</v>
      </c>
      <c r="W93" s="70">
        <f t="shared" si="126"/>
        <v>-6.3544313424218068E-3</v>
      </c>
      <c r="X93" s="71">
        <f t="shared" si="120"/>
        <v>-6.3544313424218068E-3</v>
      </c>
    </row>
    <row r="94" spans="1:24" ht="20.25" customHeight="1" x14ac:dyDescent="0.35">
      <c r="A94" s="12" t="s">
        <v>26</v>
      </c>
      <c r="B94" s="12"/>
      <c r="C94" s="12" t="str">
        <f>C93</f>
        <v>EMBLEM</v>
      </c>
      <c r="D94" s="31"/>
      <c r="E94" s="38"/>
      <c r="F94" s="39" t="str">
        <f>"S100002"</f>
        <v>S100002</v>
      </c>
      <c r="G94" s="40" t="str">
        <f>"Football Graphic Plaque"</f>
        <v>Football Graphic Plaque</v>
      </c>
      <c r="H94" s="41">
        <v>11.89</v>
      </c>
      <c r="I94" s="42">
        <v>192</v>
      </c>
      <c r="J94" s="43">
        <v>4641.3100000000004</v>
      </c>
      <c r="K94" s="43">
        <f>J94-(I94*H94)</f>
        <v>2358.4300000000003</v>
      </c>
      <c r="L94" s="44">
        <f>IF(J94=0,0,K94/J94)</f>
        <v>0.50813886596672064</v>
      </c>
      <c r="M94" s="45"/>
      <c r="N94" s="42">
        <v>302</v>
      </c>
      <c r="O94" s="43">
        <v>7100.73</v>
      </c>
      <c r="P94" s="43">
        <f t="shared" si="121"/>
        <v>3509.9499999999994</v>
      </c>
      <c r="Q94" s="44">
        <f t="shared" si="122"/>
        <v>0.49430833167857385</v>
      </c>
      <c r="S94" s="68">
        <f t="shared" si="123"/>
        <v>-110</v>
      </c>
      <c r="T94" s="46">
        <f t="shared" si="124"/>
        <v>-2459.4199999999992</v>
      </c>
      <c r="U94" s="69">
        <f t="shared" si="125"/>
        <v>-1151.5199999999991</v>
      </c>
      <c r="W94" s="70">
        <f t="shared" si="126"/>
        <v>1.383053428814679E-2</v>
      </c>
      <c r="X94" s="71">
        <f t="shared" si="120"/>
        <v>1.383053428814679E-2</v>
      </c>
    </row>
    <row r="95" spans="1:24" ht="20.25" customHeight="1" x14ac:dyDescent="0.35">
      <c r="A95" s="12" t="s">
        <v>26</v>
      </c>
      <c r="B95" s="12"/>
      <c r="C95" s="12" t="str">
        <f>C94</f>
        <v>EMBLEM</v>
      </c>
      <c r="D95" s="31"/>
      <c r="E95" s="38"/>
      <c r="F95" s="39" t="str">
        <f>"S100003"</f>
        <v>S100003</v>
      </c>
      <c r="G95" s="40" t="str">
        <f>"Soccer #1 Pin"</f>
        <v>Soccer #1 Pin</v>
      </c>
      <c r="H95" s="41">
        <v>0.9</v>
      </c>
      <c r="I95" s="42">
        <v>1907</v>
      </c>
      <c r="J95" s="43">
        <v>2753.18</v>
      </c>
      <c r="K95" s="43">
        <f>J95-(I95*H95)</f>
        <v>1036.8799999999999</v>
      </c>
      <c r="L95" s="44">
        <f>IF(J95=0,0,K95/J95)</f>
        <v>0.37661177256844808</v>
      </c>
      <c r="M95" s="45"/>
      <c r="N95" s="42">
        <v>1418</v>
      </c>
      <c r="O95" s="43">
        <v>2066.13</v>
      </c>
      <c r="P95" s="43">
        <f t="shared" si="121"/>
        <v>789.93000000000006</v>
      </c>
      <c r="Q95" s="44">
        <f t="shared" si="122"/>
        <v>0.38232347432155772</v>
      </c>
      <c r="S95" s="68">
        <f t="shared" si="123"/>
        <v>489</v>
      </c>
      <c r="T95" s="46">
        <f t="shared" si="124"/>
        <v>687.04999999999973</v>
      </c>
      <c r="U95" s="69">
        <f t="shared" si="125"/>
        <v>246.94999999999982</v>
      </c>
      <c r="W95" s="70">
        <f t="shared" si="126"/>
        <v>-5.7117017531096437E-3</v>
      </c>
      <c r="X95" s="71">
        <f t="shared" si="120"/>
        <v>-5.7117017531096437E-3</v>
      </c>
    </row>
    <row r="96" spans="1:24" ht="20.25" customHeight="1" x14ac:dyDescent="0.35">
      <c r="A96" s="12" t="s">
        <v>26</v>
      </c>
      <c r="B96" s="12"/>
      <c r="C96" s="12" t="str">
        <f>C95</f>
        <v>EMBLEM</v>
      </c>
      <c r="D96" s="31"/>
      <c r="E96" s="38"/>
      <c r="F96" s="39" t="str">
        <f>"S100004"</f>
        <v>S100004</v>
      </c>
      <c r="G96" s="40" t="str">
        <f>"Award Medallian - 2''"</f>
        <v>Award Medallian - 2''</v>
      </c>
      <c r="H96" s="41">
        <v>6.6700999999999997</v>
      </c>
      <c r="I96" s="42">
        <v>1011</v>
      </c>
      <c r="J96" s="43">
        <v>13806.06</v>
      </c>
      <c r="K96" s="43">
        <f>J96-(I96*H96)</f>
        <v>7062.5888999999997</v>
      </c>
      <c r="L96" s="44">
        <f>IF(J96=0,0,K96/J96)</f>
        <v>0.51155716402797036</v>
      </c>
      <c r="M96" s="45"/>
      <c r="N96" s="42">
        <v>1056</v>
      </c>
      <c r="O96" s="43">
        <v>14341.210000000001</v>
      </c>
      <c r="P96" s="43">
        <f t="shared" si="121"/>
        <v>7297.5844000000016</v>
      </c>
      <c r="Q96" s="44">
        <f t="shared" si="122"/>
        <v>0.50885416223596203</v>
      </c>
      <c r="S96" s="68">
        <f t="shared" si="123"/>
        <v>-45</v>
      </c>
      <c r="T96" s="46">
        <f t="shared" si="124"/>
        <v>-535.15000000000146</v>
      </c>
      <c r="U96" s="69">
        <f t="shared" si="125"/>
        <v>-234.99550000000181</v>
      </c>
      <c r="W96" s="70">
        <f t="shared" si="126"/>
        <v>2.7030017920083305E-3</v>
      </c>
      <c r="X96" s="71">
        <f t="shared" si="120"/>
        <v>2.7030017920083305E-3</v>
      </c>
    </row>
    <row r="97" spans="1:24" ht="20.25" customHeight="1" x14ac:dyDescent="0.35">
      <c r="A97" s="12" t="s">
        <v>26</v>
      </c>
      <c r="B97" s="12"/>
      <c r="C97" s="12" t="str">
        <f>C96</f>
        <v>EMBLEM</v>
      </c>
      <c r="D97" s="31"/>
      <c r="E97" s="38"/>
      <c r="F97" s="39" t="str">
        <f>"S100005"</f>
        <v>S100005</v>
      </c>
      <c r="G97" s="40" t="str">
        <f>"Award Medallian - 2.5''"</f>
        <v>Award Medallian - 2.5''</v>
      </c>
      <c r="H97" s="41">
        <v>5.2198000000000002</v>
      </c>
      <c r="I97" s="42">
        <v>1248</v>
      </c>
      <c r="J97" s="43">
        <v>10225.01</v>
      </c>
      <c r="K97" s="43">
        <f>J97-(I97*H97)</f>
        <v>3710.6995999999999</v>
      </c>
      <c r="L97" s="44">
        <f>IF(J97=0,0,K97/J97)</f>
        <v>0.36290425143838489</v>
      </c>
      <c r="M97" s="45"/>
      <c r="N97" s="42">
        <v>865</v>
      </c>
      <c r="O97" s="43">
        <v>7161.95</v>
      </c>
      <c r="P97" s="43">
        <f t="shared" si="121"/>
        <v>2646.8229999999994</v>
      </c>
      <c r="Q97" s="44">
        <f t="shared" si="122"/>
        <v>0.36956736642953381</v>
      </c>
      <c r="S97" s="68">
        <f t="shared" si="123"/>
        <v>383</v>
      </c>
      <c r="T97" s="46">
        <f t="shared" si="124"/>
        <v>3063.0600000000004</v>
      </c>
      <c r="U97" s="69">
        <f t="shared" si="125"/>
        <v>1063.8766000000005</v>
      </c>
      <c r="W97" s="70">
        <f t="shared" si="126"/>
        <v>-6.6631149911489107E-3</v>
      </c>
      <c r="X97" s="71">
        <f t="shared" si="120"/>
        <v>-6.6631149911489107E-3</v>
      </c>
    </row>
    <row r="98" spans="1:24" ht="20.25" customHeight="1" x14ac:dyDescent="0.35">
      <c r="A98" s="12" t="s">
        <v>26</v>
      </c>
      <c r="B98" s="12"/>
      <c r="C98" s="12" t="str">
        <f>C97</f>
        <v>EMBLEM</v>
      </c>
      <c r="D98" s="31"/>
      <c r="E98" s="38"/>
      <c r="F98" s="39" t="str">
        <f>"S100006"</f>
        <v>S100006</v>
      </c>
      <c r="G98" s="40" t="str">
        <f>"Award Medallian - 3''"</f>
        <v>Award Medallian - 3''</v>
      </c>
      <c r="H98" s="41">
        <v>7.3998999999999997</v>
      </c>
      <c r="I98" s="42">
        <v>1207</v>
      </c>
      <c r="J98" s="43">
        <v>13102.249999999998</v>
      </c>
      <c r="K98" s="43">
        <f>J98-(I98*H98)</f>
        <v>4170.5706999999984</v>
      </c>
      <c r="L98" s="44">
        <f>IF(J98=0,0,K98/J98)</f>
        <v>0.31830950409280839</v>
      </c>
      <c r="M98" s="45"/>
      <c r="N98" s="42">
        <v>306</v>
      </c>
      <c r="O98" s="43">
        <v>3384.37</v>
      </c>
      <c r="P98" s="43">
        <f t="shared" si="121"/>
        <v>1120.0005999999998</v>
      </c>
      <c r="Q98" s="44">
        <f t="shared" si="122"/>
        <v>0.33093326084322927</v>
      </c>
      <c r="S98" s="68">
        <f t="shared" si="123"/>
        <v>901</v>
      </c>
      <c r="T98" s="46">
        <f t="shared" si="124"/>
        <v>9717.8799999999974</v>
      </c>
      <c r="U98" s="69">
        <f t="shared" si="125"/>
        <v>3050.5700999999985</v>
      </c>
      <c r="W98" s="70">
        <f t="shared" si="126"/>
        <v>-1.2623756750420878E-2</v>
      </c>
      <c r="X98" s="71">
        <f t="shared" si="120"/>
        <v>-1.2623756750420878E-2</v>
      </c>
    </row>
    <row r="99" spans="1:24" ht="20.25" customHeight="1" x14ac:dyDescent="0.35">
      <c r="A99" s="12" t="s">
        <v>26</v>
      </c>
      <c r="B99" s="12"/>
      <c r="C99" s="12" t="str">
        <f>C98</f>
        <v>EMBLEM</v>
      </c>
      <c r="D99" s="31"/>
      <c r="E99" s="38"/>
      <c r="F99" s="39" t="str">
        <f>"S100007"</f>
        <v>S100007</v>
      </c>
      <c r="G99" s="40" t="str">
        <f>"Baseball Figure Trophy"</f>
        <v>Baseball Figure Trophy</v>
      </c>
      <c r="H99" s="41">
        <v>3.68</v>
      </c>
      <c r="I99" s="42">
        <v>1070</v>
      </c>
      <c r="J99" s="43">
        <v>7597.65</v>
      </c>
      <c r="K99" s="43">
        <f>J99-(I99*H99)</f>
        <v>3660.0499999999993</v>
      </c>
      <c r="L99" s="44">
        <f>IF(J99=0,0,K99/J99)</f>
        <v>0.48173448368903538</v>
      </c>
      <c r="M99" s="45"/>
      <c r="N99" s="42">
        <v>578</v>
      </c>
      <c r="O99" s="43">
        <v>4127.3599999999997</v>
      </c>
      <c r="P99" s="43">
        <f t="shared" si="121"/>
        <v>2000.3199999999997</v>
      </c>
      <c r="Q99" s="44">
        <f t="shared" si="122"/>
        <v>0.48464878275701656</v>
      </c>
      <c r="S99" s="68">
        <f t="shared" si="123"/>
        <v>492</v>
      </c>
      <c r="T99" s="46">
        <f t="shared" si="124"/>
        <v>3470.29</v>
      </c>
      <c r="U99" s="69">
        <f t="shared" si="125"/>
        <v>1659.7299999999996</v>
      </c>
      <c r="W99" s="70">
        <f t="shared" si="126"/>
        <v>-2.9142990679811853E-3</v>
      </c>
      <c r="X99" s="71">
        <f t="shared" si="120"/>
        <v>-2.9142990679811853E-3</v>
      </c>
    </row>
    <row r="100" spans="1:24" ht="20.25" customHeight="1" x14ac:dyDescent="0.35">
      <c r="A100" s="12" t="s">
        <v>26</v>
      </c>
      <c r="B100" s="12"/>
      <c r="C100" s="12" t="str">
        <f>C99</f>
        <v>EMBLEM</v>
      </c>
      <c r="D100" s="31"/>
      <c r="E100" s="38"/>
      <c r="F100" s="39" t="str">
        <f>"S100008"</f>
        <v>S100008</v>
      </c>
      <c r="G100" s="40" t="str">
        <f>"Soccer Figure Trophy"</f>
        <v>Soccer Figure Trophy</v>
      </c>
      <c r="H100" s="41">
        <v>3.68</v>
      </c>
      <c r="I100" s="42">
        <v>1353</v>
      </c>
      <c r="J100" s="43">
        <v>7686.84</v>
      </c>
      <c r="K100" s="43">
        <f>J100-(I100*H100)</f>
        <v>2707.8</v>
      </c>
      <c r="L100" s="44">
        <f>IF(J100=0,0,K100/J100)</f>
        <v>0.35226438952807659</v>
      </c>
      <c r="M100" s="45"/>
      <c r="N100" s="42">
        <v>577</v>
      </c>
      <c r="O100" s="43">
        <v>3313.3399999999997</v>
      </c>
      <c r="P100" s="43">
        <f t="shared" si="121"/>
        <v>1189.9799999999996</v>
      </c>
      <c r="Q100" s="44">
        <f t="shared" si="122"/>
        <v>0.35914817072802663</v>
      </c>
      <c r="S100" s="68">
        <f t="shared" si="123"/>
        <v>776</v>
      </c>
      <c r="T100" s="46">
        <f t="shared" si="124"/>
        <v>4373.5</v>
      </c>
      <c r="U100" s="69">
        <f t="shared" si="125"/>
        <v>1517.8200000000006</v>
      </c>
      <c r="W100" s="70">
        <f t="shared" si="126"/>
        <v>-6.8837811999500342E-3</v>
      </c>
      <c r="X100" s="71">
        <f t="shared" si="120"/>
        <v>-6.8837811999500342E-3</v>
      </c>
    </row>
    <row r="101" spans="1:24" ht="20.25" customHeight="1" x14ac:dyDescent="0.35">
      <c r="A101" s="12" t="s">
        <v>26</v>
      </c>
      <c r="B101" s="12"/>
      <c r="C101" s="12" t="str">
        <f>C100</f>
        <v>EMBLEM</v>
      </c>
      <c r="D101" s="31"/>
      <c r="E101" s="38"/>
      <c r="F101" s="39" t="str">
        <f>"S100009"</f>
        <v>S100009</v>
      </c>
      <c r="G101" s="40" t="str">
        <f>"Engraved Basketball Award"</f>
        <v>Engraved Basketball Award</v>
      </c>
      <c r="H101" s="41">
        <v>8.82</v>
      </c>
      <c r="I101" s="42">
        <v>1440</v>
      </c>
      <c r="J101" s="43">
        <v>25880.36</v>
      </c>
      <c r="K101" s="43">
        <f>J101-(I101*H101)</f>
        <v>13179.56</v>
      </c>
      <c r="L101" s="44">
        <f>IF(J101=0,0,K101/J101)</f>
        <v>0.50924948493761291</v>
      </c>
      <c r="M101" s="45"/>
      <c r="N101" s="42">
        <v>770</v>
      </c>
      <c r="O101" s="43">
        <v>14415.27</v>
      </c>
      <c r="P101" s="43">
        <f t="shared" si="121"/>
        <v>7623.87</v>
      </c>
      <c r="Q101" s="44">
        <f t="shared" si="122"/>
        <v>0.52887458923766251</v>
      </c>
      <c r="S101" s="68">
        <f t="shared" si="123"/>
        <v>670</v>
      </c>
      <c r="T101" s="46">
        <f t="shared" si="124"/>
        <v>11465.09</v>
      </c>
      <c r="U101" s="69">
        <f t="shared" si="125"/>
        <v>5555.69</v>
      </c>
      <c r="W101" s="70">
        <f t="shared" si="126"/>
        <v>-1.9625104300049601E-2</v>
      </c>
      <c r="X101" s="71">
        <f t="shared" si="120"/>
        <v>-1.9625104300049601E-2</v>
      </c>
    </row>
    <row r="102" spans="1:24" ht="17.25" customHeight="1" x14ac:dyDescent="0.3">
      <c r="A102" s="12" t="s">
        <v>26</v>
      </c>
      <c r="B102" s="12"/>
      <c r="C102" s="12" t="str">
        <f>C83</f>
        <v>EMBLEM</v>
      </c>
      <c r="D102" s="31"/>
      <c r="E102" s="38"/>
      <c r="F102" s="31"/>
      <c r="G102" s="31"/>
      <c r="H102" s="31"/>
      <c r="I102" s="42"/>
      <c r="J102" s="47"/>
      <c r="K102" s="47"/>
      <c r="L102" s="48"/>
      <c r="M102" s="45"/>
      <c r="N102" s="42"/>
      <c r="O102" s="47"/>
      <c r="P102" s="47"/>
      <c r="Q102" s="48"/>
      <c r="S102" s="68"/>
      <c r="T102" s="46"/>
      <c r="U102" s="69"/>
      <c r="W102" s="70"/>
      <c r="X102" s="71">
        <f t="shared" si="120"/>
        <v>0</v>
      </c>
    </row>
    <row r="103" spans="1:24" s="49" customFormat="1" ht="20.25" customHeight="1" x14ac:dyDescent="0.35">
      <c r="A103" s="50" t="s">
        <v>26</v>
      </c>
      <c r="B103" s="12"/>
      <c r="C103" s="12" t="str">
        <f>C102</f>
        <v>EMBLEM</v>
      </c>
      <c r="D103" s="31"/>
      <c r="E103" s="51"/>
      <c r="F103" s="52"/>
      <c r="G103" s="52"/>
      <c r="H103" s="53" t="str">
        <f>E82&amp;" Total"</f>
        <v>EMBLEM Total</v>
      </c>
      <c r="I103" s="54">
        <f>SUBTOTAL(9,I83:I102)</f>
        <v>14002</v>
      </c>
      <c r="J103" s="55">
        <f>SUBTOTAL(9,J83:J102)</f>
        <v>384933.48000000004</v>
      </c>
      <c r="K103" s="55">
        <f>SUBTOTAL(9,K83:K102)</f>
        <v>180503.34259999997</v>
      </c>
      <c r="L103" s="56">
        <f>IF(J103=0,0,K103/J103)</f>
        <v>0.46892087069173605</v>
      </c>
      <c r="M103" s="57"/>
      <c r="N103" s="54">
        <f>SUBTOTAL(9,N83:N102)</f>
        <v>9981</v>
      </c>
      <c r="O103" s="55">
        <f>SUBTOTAL(9,O83:O102)</f>
        <v>289060.88000000006</v>
      </c>
      <c r="P103" s="55">
        <f t="shared" ref="P103" si="127">SUM(P83:P102)</f>
        <v>137310.05680000002</v>
      </c>
      <c r="Q103" s="56">
        <f t="shared" ref="Q103" si="128">IF(O103=0,0,P103/O103)</f>
        <v>0.47502123704874899</v>
      </c>
      <c r="R103" s="58"/>
      <c r="S103" s="72">
        <f t="shared" ref="S103:U103" si="129">SUBTOTAL(9,S83:S102)</f>
        <v>4021</v>
      </c>
      <c r="T103" s="59">
        <f t="shared" si="129"/>
        <v>95872.599999999962</v>
      </c>
      <c r="U103" s="73">
        <f t="shared" si="129"/>
        <v>43193.285799999991</v>
      </c>
      <c r="V103" s="58"/>
      <c r="W103" s="74">
        <f t="shared" ref="W103" si="130">L103-Q103</f>
        <v>-6.1003663570129429E-3</v>
      </c>
      <c r="X103" s="71">
        <f t="shared" si="120"/>
        <v>-6.1003663570129429E-3</v>
      </c>
    </row>
    <row r="104" spans="1:24" s="49" customFormat="1" ht="20.25" customHeight="1" x14ac:dyDescent="0.35">
      <c r="A104" s="50" t="s">
        <v>26</v>
      </c>
      <c r="B104" s="12"/>
      <c r="C104" s="12" t="str">
        <f>C103</f>
        <v>EMBLEM</v>
      </c>
      <c r="D104" s="31"/>
      <c r="E104" s="101"/>
      <c r="F104" s="102"/>
      <c r="G104" s="102"/>
      <c r="H104" s="103"/>
      <c r="I104" s="104"/>
      <c r="J104" s="105"/>
      <c r="K104" s="105"/>
      <c r="L104" s="106"/>
      <c r="M104" s="57"/>
      <c r="N104" s="104"/>
      <c r="O104" s="105"/>
      <c r="P104" s="105"/>
      <c r="Q104" s="106"/>
      <c r="R104" s="58"/>
      <c r="S104" s="107"/>
      <c r="T104" s="108"/>
      <c r="U104" s="109"/>
      <c r="V104" s="58"/>
      <c r="W104" s="110"/>
      <c r="X104" s="75"/>
    </row>
    <row r="105" spans="1:24" ht="20.25" customHeight="1" x14ac:dyDescent="0.35">
      <c r="A105" s="12" t="s">
        <v>26</v>
      </c>
      <c r="B105" s="12"/>
      <c r="C105" s="12" t="str">
        <f>E105</f>
        <v>FLASHLIGHT</v>
      </c>
      <c r="D105" s="31"/>
      <c r="E105" s="32" t="str">
        <f>"FLASHLIGHT"</f>
        <v>FLASHLIGHT</v>
      </c>
      <c r="F105" s="33"/>
      <c r="G105" s="33"/>
      <c r="H105" s="33"/>
      <c r="I105" s="34"/>
      <c r="J105" s="31"/>
      <c r="K105" s="31"/>
      <c r="L105" s="35"/>
      <c r="N105" s="36"/>
      <c r="O105" s="33"/>
      <c r="P105" s="33"/>
      <c r="Q105" s="37"/>
      <c r="S105" s="64"/>
      <c r="T105" s="65"/>
      <c r="U105" s="66"/>
      <c r="W105" s="67"/>
      <c r="X105" s="66"/>
    </row>
    <row r="106" spans="1:24" ht="20.25" customHeight="1" x14ac:dyDescent="0.35">
      <c r="A106" s="12" t="s">
        <v>26</v>
      </c>
      <c r="B106" s="12"/>
      <c r="C106" s="12" t="str">
        <f>C105</f>
        <v>FLASHLIGHT</v>
      </c>
      <c r="D106" s="31"/>
      <c r="E106" s="38"/>
      <c r="F106" s="39" t="str">
        <f>"E100029"</f>
        <v>E100029</v>
      </c>
      <c r="G106" s="40" t="str">
        <f>"LED Flex Light"</f>
        <v>LED Flex Light</v>
      </c>
      <c r="H106" s="41">
        <v>1.68</v>
      </c>
      <c r="I106" s="42">
        <v>336</v>
      </c>
      <c r="J106" s="43">
        <v>943.43000000000006</v>
      </c>
      <c r="K106" s="43">
        <f>J106-(I106*H106)</f>
        <v>378.95000000000005</v>
      </c>
      <c r="L106" s="44">
        <f>IF(J106=0,0,K106/J106)</f>
        <v>0.40167262012019972</v>
      </c>
      <c r="M106" s="45"/>
      <c r="N106" s="42">
        <v>577</v>
      </c>
      <c r="O106" s="43">
        <v>1634.1499999999999</v>
      </c>
      <c r="P106" s="43">
        <f t="shared" ref="P106" si="131">O106-(N106*$H106)</f>
        <v>664.78999999999985</v>
      </c>
      <c r="Q106" s="44">
        <f t="shared" ref="Q106" si="132">IF(O106=0,0,P106/O106)</f>
        <v>0.40681088027414858</v>
      </c>
      <c r="S106" s="68">
        <f t="shared" ref="S106" si="133">I106-N106</f>
        <v>-241</v>
      </c>
      <c r="T106" s="46">
        <f t="shared" ref="T106" si="134">J106-O106</f>
        <v>-690.7199999999998</v>
      </c>
      <c r="U106" s="69">
        <f t="shared" ref="U106" si="135">K106-P106</f>
        <v>-285.8399999999998</v>
      </c>
      <c r="W106" s="70">
        <f t="shared" ref="W106" si="136">L106-Q106</f>
        <v>-5.1382601539488593E-3</v>
      </c>
      <c r="X106" s="71">
        <f t="shared" ref="X106:X112" si="137">W106</f>
        <v>-5.1382601539488593E-3</v>
      </c>
    </row>
    <row r="107" spans="1:24" ht="20.25" customHeight="1" x14ac:dyDescent="0.35">
      <c r="A107" s="12" t="s">
        <v>26</v>
      </c>
      <c r="B107" s="12"/>
      <c r="C107" s="12" t="str">
        <f>C106</f>
        <v>FLASHLIGHT</v>
      </c>
      <c r="D107" s="31"/>
      <c r="E107" s="38"/>
      <c r="F107" s="39" t="str">
        <f>"E100030"</f>
        <v>E100030</v>
      </c>
      <c r="G107" s="40" t="str">
        <f>"LED Keychain"</f>
        <v>LED Keychain</v>
      </c>
      <c r="H107" s="41">
        <v>0.5</v>
      </c>
      <c r="I107" s="42">
        <v>147</v>
      </c>
      <c r="J107" s="43">
        <v>139.73000000000002</v>
      </c>
      <c r="K107" s="43">
        <f>J107-(I107*H107)</f>
        <v>66.230000000000018</v>
      </c>
      <c r="L107" s="44">
        <f>IF(J107=0,0,K107/J107)</f>
        <v>0.47398554354827171</v>
      </c>
      <c r="M107" s="45"/>
      <c r="N107" s="42">
        <v>199</v>
      </c>
      <c r="O107" s="43">
        <v>189.17000000000002</v>
      </c>
      <c r="P107" s="43">
        <f t="shared" ref="P107:P110" si="138">O107-(N107*$H107)</f>
        <v>89.670000000000016</v>
      </c>
      <c r="Q107" s="44">
        <f t="shared" ref="Q107:Q110" si="139">IF(O107=0,0,P107/O107)</f>
        <v>0.47401807897658194</v>
      </c>
      <c r="S107" s="68">
        <f t="shared" ref="S107:S110" si="140">I107-N107</f>
        <v>-52</v>
      </c>
      <c r="T107" s="46">
        <f t="shared" ref="T107:T110" si="141">J107-O107</f>
        <v>-49.44</v>
      </c>
      <c r="U107" s="69">
        <f t="shared" ref="U107:U110" si="142">K107-P107</f>
        <v>-23.439999999999998</v>
      </c>
      <c r="W107" s="70">
        <f t="shared" ref="W107:W110" si="143">L107-Q107</f>
        <v>-3.2535428310220826E-5</v>
      </c>
      <c r="X107" s="71">
        <f t="shared" si="137"/>
        <v>-3.2535428310220826E-5</v>
      </c>
    </row>
    <row r="108" spans="1:24" ht="20.25" customHeight="1" x14ac:dyDescent="0.35">
      <c r="A108" s="12" t="s">
        <v>26</v>
      </c>
      <c r="B108" s="12"/>
      <c r="C108" s="12" t="str">
        <f>C107</f>
        <v>FLASHLIGHT</v>
      </c>
      <c r="D108" s="31"/>
      <c r="E108" s="38"/>
      <c r="F108" s="39" t="str">
        <f>"E100031"</f>
        <v>E100031</v>
      </c>
      <c r="G108" s="40" t="str">
        <f>"Ad Torch"</f>
        <v>Ad Torch</v>
      </c>
      <c r="H108" s="41">
        <v>1.38</v>
      </c>
      <c r="I108" s="42">
        <v>192</v>
      </c>
      <c r="J108" s="43">
        <v>519.61</v>
      </c>
      <c r="K108" s="43">
        <f>J108-(I108*H108)</f>
        <v>254.65000000000003</v>
      </c>
      <c r="L108" s="44">
        <f>IF(J108=0,0,K108/J108)</f>
        <v>0.49007909778487718</v>
      </c>
      <c r="M108" s="45"/>
      <c r="N108" s="42">
        <v>1045</v>
      </c>
      <c r="O108" s="43">
        <v>2857.1099999999997</v>
      </c>
      <c r="P108" s="43">
        <f t="shared" si="138"/>
        <v>1415.0099999999998</v>
      </c>
      <c r="Q108" s="44">
        <f t="shared" si="139"/>
        <v>0.49525919548074798</v>
      </c>
      <c r="S108" s="68">
        <f t="shared" si="140"/>
        <v>-853</v>
      </c>
      <c r="T108" s="46">
        <f t="shared" si="141"/>
        <v>-2337.4999999999995</v>
      </c>
      <c r="U108" s="69">
        <f t="shared" si="142"/>
        <v>-1160.3599999999997</v>
      </c>
      <c r="W108" s="70">
        <f t="shared" si="143"/>
        <v>-5.1800976958708E-3</v>
      </c>
      <c r="X108" s="71">
        <f t="shared" si="137"/>
        <v>-5.1800976958708E-3</v>
      </c>
    </row>
    <row r="109" spans="1:24" ht="20.25" customHeight="1" x14ac:dyDescent="0.35">
      <c r="A109" s="12" t="s">
        <v>26</v>
      </c>
      <c r="B109" s="12"/>
      <c r="C109" s="12" t="str">
        <f>C108</f>
        <v>FLASHLIGHT</v>
      </c>
      <c r="D109" s="31"/>
      <c r="E109" s="38"/>
      <c r="F109" s="39" t="str">
        <f>"E100032"</f>
        <v>E100032</v>
      </c>
      <c r="G109" s="40" t="str">
        <f>"Button Key-Light"</f>
        <v>Button Key-Light</v>
      </c>
      <c r="H109" s="41">
        <v>0.3296</v>
      </c>
      <c r="I109" s="42">
        <v>774.99999999999989</v>
      </c>
      <c r="J109" s="43">
        <v>382.15999999999997</v>
      </c>
      <c r="K109" s="43">
        <f>J109-(I109*H109)</f>
        <v>126.72</v>
      </c>
      <c r="L109" s="44">
        <f>IF(J109=0,0,K109/J109)</f>
        <v>0.33158886330332848</v>
      </c>
      <c r="M109" s="45"/>
      <c r="N109" s="42">
        <v>846</v>
      </c>
      <c r="O109" s="43">
        <v>422.68</v>
      </c>
      <c r="P109" s="43">
        <f t="shared" si="138"/>
        <v>143.83839999999998</v>
      </c>
      <c r="Q109" s="44">
        <f t="shared" si="139"/>
        <v>0.34030093687896273</v>
      </c>
      <c r="S109" s="68">
        <f t="shared" si="140"/>
        <v>-71.000000000000114</v>
      </c>
      <c r="T109" s="46">
        <f t="shared" si="141"/>
        <v>-40.520000000000039</v>
      </c>
      <c r="U109" s="69">
        <f t="shared" si="142"/>
        <v>-17.11839999999998</v>
      </c>
      <c r="W109" s="70">
        <f t="shared" si="143"/>
        <v>-8.7120735756342493E-3</v>
      </c>
      <c r="X109" s="71">
        <f t="shared" si="137"/>
        <v>-8.7120735756342493E-3</v>
      </c>
    </row>
    <row r="110" spans="1:24" ht="20.25" customHeight="1" x14ac:dyDescent="0.35">
      <c r="A110" s="12" t="s">
        <v>26</v>
      </c>
      <c r="B110" s="12"/>
      <c r="C110" s="12" t="str">
        <f>C109</f>
        <v>FLASHLIGHT</v>
      </c>
      <c r="D110" s="31"/>
      <c r="E110" s="38"/>
      <c r="F110" s="39" t="str">
        <f>"E100033"</f>
        <v>E100033</v>
      </c>
      <c r="G110" s="40" t="str">
        <f>"Dual Source Flashlight"</f>
        <v>Dual Source Flashlight</v>
      </c>
      <c r="H110" s="41">
        <v>1.56</v>
      </c>
      <c r="I110" s="42">
        <v>1214</v>
      </c>
      <c r="J110" s="43">
        <v>3850.49</v>
      </c>
      <c r="K110" s="43">
        <f>J110-(I110*H110)</f>
        <v>1956.6499999999996</v>
      </c>
      <c r="L110" s="44">
        <f>IF(J110=0,0,K110/J110)</f>
        <v>0.50815610480744</v>
      </c>
      <c r="M110" s="45"/>
      <c r="N110" s="42">
        <v>583</v>
      </c>
      <c r="O110" s="43">
        <v>1874.0000000000002</v>
      </c>
      <c r="P110" s="43">
        <f t="shared" si="138"/>
        <v>964.52000000000021</v>
      </c>
      <c r="Q110" s="44">
        <f t="shared" si="139"/>
        <v>0.51468516542155818</v>
      </c>
      <c r="S110" s="68">
        <f t="shared" si="140"/>
        <v>631</v>
      </c>
      <c r="T110" s="46">
        <f t="shared" si="141"/>
        <v>1976.4899999999996</v>
      </c>
      <c r="U110" s="69">
        <f t="shared" si="142"/>
        <v>992.12999999999943</v>
      </c>
      <c r="W110" s="70">
        <f t="shared" si="143"/>
        <v>-6.5290606141181762E-3</v>
      </c>
      <c r="X110" s="71">
        <f t="shared" si="137"/>
        <v>-6.5290606141181762E-3</v>
      </c>
    </row>
    <row r="111" spans="1:24" ht="17.25" customHeight="1" x14ac:dyDescent="0.3">
      <c r="A111" s="12" t="s">
        <v>26</v>
      </c>
      <c r="B111" s="12"/>
      <c r="C111" s="12" t="str">
        <f>C106</f>
        <v>FLASHLIGHT</v>
      </c>
      <c r="D111" s="31"/>
      <c r="E111" s="38"/>
      <c r="F111" s="31"/>
      <c r="G111" s="31"/>
      <c r="H111" s="31"/>
      <c r="I111" s="42"/>
      <c r="J111" s="47"/>
      <c r="K111" s="47"/>
      <c r="L111" s="48"/>
      <c r="M111" s="45"/>
      <c r="N111" s="42"/>
      <c r="O111" s="47"/>
      <c r="P111" s="47"/>
      <c r="Q111" s="48"/>
      <c r="S111" s="68"/>
      <c r="T111" s="46"/>
      <c r="U111" s="69"/>
      <c r="W111" s="70"/>
      <c r="X111" s="71">
        <f t="shared" si="137"/>
        <v>0</v>
      </c>
    </row>
    <row r="112" spans="1:24" s="49" customFormat="1" ht="20.25" customHeight="1" x14ac:dyDescent="0.35">
      <c r="A112" s="50" t="s">
        <v>26</v>
      </c>
      <c r="B112" s="12"/>
      <c r="C112" s="12" t="str">
        <f>C111</f>
        <v>FLASHLIGHT</v>
      </c>
      <c r="D112" s="31"/>
      <c r="E112" s="51"/>
      <c r="F112" s="52"/>
      <c r="G112" s="52"/>
      <c r="H112" s="53" t="str">
        <f>E105&amp;" Total"</f>
        <v>FLASHLIGHT Total</v>
      </c>
      <c r="I112" s="54">
        <f>SUBTOTAL(9,I106:I111)</f>
        <v>2664</v>
      </c>
      <c r="J112" s="55">
        <f>SUBTOTAL(9,J106:J111)</f>
        <v>5835.42</v>
      </c>
      <c r="K112" s="55">
        <f>SUBTOTAL(9,K106:K111)</f>
        <v>2783.2</v>
      </c>
      <c r="L112" s="56">
        <f>IF(J112=0,0,K112/J112)</f>
        <v>0.47694938839021012</v>
      </c>
      <c r="M112" s="57"/>
      <c r="N112" s="54">
        <f>SUBTOTAL(9,N106:N111)</f>
        <v>3250</v>
      </c>
      <c r="O112" s="55">
        <f>SUBTOTAL(9,O106:O111)</f>
        <v>6977.11</v>
      </c>
      <c r="P112" s="55">
        <f t="shared" ref="P112" si="144">SUM(P106:P111)</f>
        <v>3277.8283999999994</v>
      </c>
      <c r="Q112" s="56">
        <f t="shared" ref="Q112" si="145">IF(O112=0,0,P112/O112)</f>
        <v>0.46979743762102066</v>
      </c>
      <c r="R112" s="58"/>
      <c r="S112" s="72">
        <f t="shared" ref="S112:U112" si="146">SUBTOTAL(9,S106:S111)</f>
        <v>-586</v>
      </c>
      <c r="T112" s="59">
        <f t="shared" si="146"/>
        <v>-1141.6899999999998</v>
      </c>
      <c r="U112" s="73">
        <f t="shared" si="146"/>
        <v>-494.62840000000006</v>
      </c>
      <c r="V112" s="58"/>
      <c r="W112" s="74">
        <f t="shared" ref="W112" si="147">L112-Q112</f>
        <v>7.1519507691894524E-3</v>
      </c>
      <c r="X112" s="71">
        <f t="shared" si="137"/>
        <v>7.1519507691894524E-3</v>
      </c>
    </row>
    <row r="113" spans="1:24" s="49" customFormat="1" ht="20.25" customHeight="1" x14ac:dyDescent="0.35">
      <c r="A113" s="50" t="s">
        <v>26</v>
      </c>
      <c r="B113" s="12"/>
      <c r="C113" s="12" t="str">
        <f>C112</f>
        <v>FLASHLIGHT</v>
      </c>
      <c r="D113" s="31"/>
      <c r="E113" s="101"/>
      <c r="F113" s="102"/>
      <c r="G113" s="102"/>
      <c r="H113" s="103"/>
      <c r="I113" s="104"/>
      <c r="J113" s="105"/>
      <c r="K113" s="105"/>
      <c r="L113" s="106"/>
      <c r="M113" s="57"/>
      <c r="N113" s="104"/>
      <c r="O113" s="105"/>
      <c r="P113" s="105"/>
      <c r="Q113" s="106"/>
      <c r="R113" s="58"/>
      <c r="S113" s="107"/>
      <c r="T113" s="108"/>
      <c r="U113" s="109"/>
      <c r="V113" s="58"/>
      <c r="W113" s="110"/>
      <c r="X113" s="75"/>
    </row>
    <row r="114" spans="1:24" ht="20.25" customHeight="1" x14ac:dyDescent="0.35">
      <c r="A114" s="12" t="s">
        <v>26</v>
      </c>
      <c r="B114" s="12"/>
      <c r="C114" s="12" t="str">
        <f>E114</f>
        <v>FRAMES</v>
      </c>
      <c r="D114" s="31"/>
      <c r="E114" s="32" t="str">
        <f>"FRAMES"</f>
        <v>FRAMES</v>
      </c>
      <c r="F114" s="33"/>
      <c r="G114" s="33"/>
      <c r="H114" s="33"/>
      <c r="I114" s="34"/>
      <c r="J114" s="31"/>
      <c r="K114" s="31"/>
      <c r="L114" s="35"/>
      <c r="N114" s="36"/>
      <c r="O114" s="33"/>
      <c r="P114" s="33"/>
      <c r="Q114" s="37"/>
      <c r="S114" s="64"/>
      <c r="T114" s="65"/>
      <c r="U114" s="66"/>
      <c r="W114" s="67"/>
      <c r="X114" s="66"/>
    </row>
    <row r="115" spans="1:24" ht="20.25" customHeight="1" x14ac:dyDescent="0.35">
      <c r="A115" s="12" t="s">
        <v>26</v>
      </c>
      <c r="B115" s="12"/>
      <c r="C115" s="12" t="str">
        <f>C114</f>
        <v>FRAMES</v>
      </c>
      <c r="D115" s="31"/>
      <c r="E115" s="38"/>
      <c r="F115" s="39" t="str">
        <f>"C100051"</f>
        <v>C100051</v>
      </c>
      <c r="G115" s="40" t="str">
        <f>"Bamboo Digital Picutre Frame"</f>
        <v>Bamboo Digital Picutre Frame</v>
      </c>
      <c r="H115" s="41">
        <v>24.32</v>
      </c>
      <c r="I115" s="42">
        <v>288</v>
      </c>
      <c r="J115" s="43">
        <v>14135.47</v>
      </c>
      <c r="K115" s="43">
        <f>J115-(I115*H115)</f>
        <v>7131.3099999999995</v>
      </c>
      <c r="L115" s="44">
        <f>IF(J115=0,0,K115/J115)</f>
        <v>0.50449755119568007</v>
      </c>
      <c r="M115" s="45"/>
      <c r="N115" s="42">
        <v>289</v>
      </c>
      <c r="O115" s="43">
        <v>13822.35</v>
      </c>
      <c r="P115" s="43">
        <f t="shared" ref="P115" si="148">O115-(N115*$H115)</f>
        <v>6793.87</v>
      </c>
      <c r="Q115" s="44">
        <f t="shared" ref="Q115" si="149">IF(O115=0,0,P115/O115)</f>
        <v>0.49151338231198022</v>
      </c>
      <c r="S115" s="68">
        <f t="shared" ref="S115" si="150">I115-N115</f>
        <v>-1</v>
      </c>
      <c r="T115" s="46">
        <f t="shared" ref="T115" si="151">J115-O115</f>
        <v>313.11999999999898</v>
      </c>
      <c r="U115" s="69">
        <f t="shared" ref="U115" si="152">K115-P115</f>
        <v>337.4399999999996</v>
      </c>
      <c r="W115" s="70">
        <f t="shared" ref="W115" si="153">L115-Q115</f>
        <v>1.2984168883699854E-2</v>
      </c>
      <c r="X115" s="71">
        <f t="shared" ref="X115:X121" si="154">W115</f>
        <v>1.2984168883699854E-2</v>
      </c>
    </row>
    <row r="116" spans="1:24" ht="20.25" customHeight="1" x14ac:dyDescent="0.35">
      <c r="A116" s="12" t="s">
        <v>26</v>
      </c>
      <c r="B116" s="12"/>
      <c r="C116" s="12" t="str">
        <f>C115</f>
        <v>FRAMES</v>
      </c>
      <c r="D116" s="31"/>
      <c r="E116" s="38"/>
      <c r="F116" s="39" t="str">
        <f>"C100052"</f>
        <v>C100052</v>
      </c>
      <c r="G116" s="40" t="str">
        <f>"Black Digital Picture Frame"</f>
        <v>Black Digital Picture Frame</v>
      </c>
      <c r="H116" s="41">
        <v>22.32</v>
      </c>
      <c r="I116" s="42">
        <v>48</v>
      </c>
      <c r="J116" s="43">
        <v>2278.15</v>
      </c>
      <c r="K116" s="43">
        <f>J116-(I116*H116)</f>
        <v>1206.79</v>
      </c>
      <c r="L116" s="44">
        <f>IF(J116=0,0,K116/J116)</f>
        <v>0.52972367930118736</v>
      </c>
      <c r="M116" s="45"/>
      <c r="N116" s="42">
        <v>217</v>
      </c>
      <c r="O116" s="43">
        <v>10287.56</v>
      </c>
      <c r="P116" s="43">
        <f t="shared" ref="P116:P119" si="155">O116-(N116*$H116)</f>
        <v>5444.119999999999</v>
      </c>
      <c r="Q116" s="44">
        <f t="shared" ref="Q116:Q119" si="156">IF(O116=0,0,P116/O116)</f>
        <v>0.52919448343436137</v>
      </c>
      <c r="S116" s="68">
        <f t="shared" ref="S116:S119" si="157">I116-N116</f>
        <v>-169</v>
      </c>
      <c r="T116" s="46">
        <f t="shared" ref="T116:T119" si="158">J116-O116</f>
        <v>-8009.41</v>
      </c>
      <c r="U116" s="69">
        <f t="shared" ref="U116:U119" si="159">K116-P116</f>
        <v>-4237.329999999999</v>
      </c>
      <c r="W116" s="70">
        <f t="shared" ref="W116:W119" si="160">L116-Q116</f>
        <v>5.2919586682598219E-4</v>
      </c>
      <c r="X116" s="71">
        <f t="shared" si="154"/>
        <v>5.2919586682598219E-4</v>
      </c>
    </row>
    <row r="117" spans="1:24" ht="20.25" customHeight="1" x14ac:dyDescent="0.35">
      <c r="A117" s="12" t="s">
        <v>26</v>
      </c>
      <c r="B117" s="12"/>
      <c r="C117" s="12" t="str">
        <f>C116</f>
        <v>FRAMES</v>
      </c>
      <c r="D117" s="31"/>
      <c r="E117" s="38"/>
      <c r="F117" s="39" t="str">
        <f>"C100053"</f>
        <v>C100053</v>
      </c>
      <c r="G117" s="40" t="str">
        <f>"Book Style Photo Frame &amp; Clock"</f>
        <v>Book Style Photo Frame &amp; Clock</v>
      </c>
      <c r="H117" s="41">
        <v>12.04</v>
      </c>
      <c r="I117" s="42">
        <v>402</v>
      </c>
      <c r="J117" s="43">
        <v>8189.91</v>
      </c>
      <c r="K117" s="43">
        <f>J117-(I117*H117)</f>
        <v>3349.83</v>
      </c>
      <c r="L117" s="44">
        <f>IF(J117=0,0,K117/J117)</f>
        <v>0.40901914673055018</v>
      </c>
      <c r="M117" s="45"/>
      <c r="N117" s="42">
        <v>54</v>
      </c>
      <c r="O117" s="43">
        <v>1101.08</v>
      </c>
      <c r="P117" s="43">
        <f t="shared" si="155"/>
        <v>450.91999999999996</v>
      </c>
      <c r="Q117" s="44">
        <f t="shared" si="156"/>
        <v>0.4095251934464344</v>
      </c>
      <c r="S117" s="68">
        <f t="shared" si="157"/>
        <v>348</v>
      </c>
      <c r="T117" s="46">
        <f t="shared" si="158"/>
        <v>7088.83</v>
      </c>
      <c r="U117" s="69">
        <f t="shared" si="159"/>
        <v>2898.91</v>
      </c>
      <c r="W117" s="70">
        <f t="shared" si="160"/>
        <v>-5.0604671588422301E-4</v>
      </c>
      <c r="X117" s="71">
        <f t="shared" si="154"/>
        <v>-5.0604671588422301E-4</v>
      </c>
    </row>
    <row r="118" spans="1:24" ht="20.25" customHeight="1" x14ac:dyDescent="0.35">
      <c r="A118" s="12" t="s">
        <v>26</v>
      </c>
      <c r="B118" s="12"/>
      <c r="C118" s="12" t="str">
        <f>C117</f>
        <v>FRAMES</v>
      </c>
      <c r="D118" s="31"/>
      <c r="E118" s="38"/>
      <c r="F118" s="39" t="str">
        <f>"C100054"</f>
        <v>C100054</v>
      </c>
      <c r="G118" s="40" t="str">
        <f>"Cherry Finish Photo Frame &amp; Clock"</f>
        <v>Cherry Finish Photo Frame &amp; Clock</v>
      </c>
      <c r="H118" s="41">
        <v>13.44</v>
      </c>
      <c r="I118" s="42">
        <v>679</v>
      </c>
      <c r="J118" s="43">
        <v>13706.15</v>
      </c>
      <c r="K118" s="43">
        <f>J118-(I118*H118)</f>
        <v>4580.3899999999994</v>
      </c>
      <c r="L118" s="44">
        <f>IF(J118=0,0,K118/J118)</f>
        <v>0.33418501913374649</v>
      </c>
      <c r="M118" s="45"/>
      <c r="N118" s="42">
        <v>7</v>
      </c>
      <c r="O118" s="43">
        <v>144.53</v>
      </c>
      <c r="P118" s="43">
        <f t="shared" si="155"/>
        <v>50.45</v>
      </c>
      <c r="Q118" s="44">
        <f t="shared" si="156"/>
        <v>0.34906247837819138</v>
      </c>
      <c r="S118" s="68">
        <f t="shared" si="157"/>
        <v>672</v>
      </c>
      <c r="T118" s="46">
        <f t="shared" si="158"/>
        <v>13561.619999999999</v>
      </c>
      <c r="U118" s="69">
        <f t="shared" si="159"/>
        <v>4529.9399999999996</v>
      </c>
      <c r="W118" s="70">
        <f t="shared" si="160"/>
        <v>-1.4877459244444891E-2</v>
      </c>
      <c r="X118" s="71">
        <f t="shared" si="154"/>
        <v>-1.4877459244444891E-2</v>
      </c>
    </row>
    <row r="119" spans="1:24" ht="20.25" customHeight="1" x14ac:dyDescent="0.35">
      <c r="A119" s="12" t="s">
        <v>26</v>
      </c>
      <c r="B119" s="12"/>
      <c r="C119" s="12" t="str">
        <f>C118</f>
        <v>FRAMES</v>
      </c>
      <c r="D119" s="31"/>
      <c r="E119" s="38"/>
      <c r="F119" s="39" t="str">
        <f>"C100055"</f>
        <v>C100055</v>
      </c>
      <c r="G119" s="40" t="str">
        <f>"Silver Plated Photo Frame"</f>
        <v>Silver Plated Photo Frame</v>
      </c>
      <c r="H119" s="41">
        <v>20.7</v>
      </c>
      <c r="I119" s="42">
        <v>506</v>
      </c>
      <c r="J119" s="43">
        <v>19233.88</v>
      </c>
      <c r="K119" s="43">
        <f>J119-(I119*H119)</f>
        <v>8759.6800000000021</v>
      </c>
      <c r="L119" s="44">
        <f>IF(J119=0,0,K119/J119)</f>
        <v>0.45542968969339526</v>
      </c>
      <c r="M119" s="45"/>
      <c r="N119" s="42">
        <v>471</v>
      </c>
      <c r="O119" s="43">
        <v>18516.5</v>
      </c>
      <c r="P119" s="43">
        <f t="shared" si="155"/>
        <v>8766.8000000000011</v>
      </c>
      <c r="Q119" s="44">
        <f t="shared" si="156"/>
        <v>0.47345880700996412</v>
      </c>
      <c r="S119" s="68">
        <f t="shared" si="157"/>
        <v>35</v>
      </c>
      <c r="T119" s="46">
        <f t="shared" si="158"/>
        <v>717.38000000000102</v>
      </c>
      <c r="U119" s="69">
        <f t="shared" si="159"/>
        <v>-7.1199999999989814</v>
      </c>
      <c r="W119" s="70">
        <f t="shared" si="160"/>
        <v>-1.8029117316568866E-2</v>
      </c>
      <c r="X119" s="71">
        <f t="shared" si="154"/>
        <v>-1.8029117316568866E-2</v>
      </c>
    </row>
    <row r="120" spans="1:24" ht="17.25" customHeight="1" x14ac:dyDescent="0.3">
      <c r="A120" s="12" t="s">
        <v>26</v>
      </c>
      <c r="B120" s="12"/>
      <c r="C120" s="12" t="str">
        <f>C115</f>
        <v>FRAMES</v>
      </c>
      <c r="D120" s="31"/>
      <c r="E120" s="38"/>
      <c r="F120" s="31"/>
      <c r="G120" s="31"/>
      <c r="H120" s="31"/>
      <c r="I120" s="42"/>
      <c r="J120" s="47"/>
      <c r="K120" s="47"/>
      <c r="L120" s="48"/>
      <c r="M120" s="45"/>
      <c r="N120" s="42"/>
      <c r="O120" s="47"/>
      <c r="P120" s="47"/>
      <c r="Q120" s="48"/>
      <c r="S120" s="68"/>
      <c r="T120" s="46"/>
      <c r="U120" s="69"/>
      <c r="W120" s="70"/>
      <c r="X120" s="71">
        <f t="shared" si="154"/>
        <v>0</v>
      </c>
    </row>
    <row r="121" spans="1:24" s="49" customFormat="1" ht="20.25" customHeight="1" x14ac:dyDescent="0.35">
      <c r="A121" s="50" t="s">
        <v>26</v>
      </c>
      <c r="B121" s="12"/>
      <c r="C121" s="12" t="str">
        <f>C120</f>
        <v>FRAMES</v>
      </c>
      <c r="D121" s="31"/>
      <c r="E121" s="51"/>
      <c r="F121" s="52"/>
      <c r="G121" s="52"/>
      <c r="H121" s="53" t="str">
        <f>E114&amp;" Total"</f>
        <v>FRAMES Total</v>
      </c>
      <c r="I121" s="54">
        <f>SUBTOTAL(9,I115:I120)</f>
        <v>1923</v>
      </c>
      <c r="J121" s="55">
        <f>SUBTOTAL(9,J115:J120)</f>
        <v>57543.56</v>
      </c>
      <c r="K121" s="55">
        <f>SUBTOTAL(9,K115:K120)</f>
        <v>25028</v>
      </c>
      <c r="L121" s="56">
        <f>IF(J121=0,0,K121/J121)</f>
        <v>0.43494006974889982</v>
      </c>
      <c r="M121" s="57"/>
      <c r="N121" s="54">
        <f>SUBTOTAL(9,N115:N120)</f>
        <v>1038</v>
      </c>
      <c r="O121" s="55">
        <f>SUBTOTAL(9,O115:O120)</f>
        <v>43872.02</v>
      </c>
      <c r="P121" s="55">
        <f t="shared" ref="P121" si="161">SUM(P115:P120)</f>
        <v>21506.16</v>
      </c>
      <c r="Q121" s="56">
        <f t="shared" ref="Q121" si="162">IF(O121=0,0,P121/O121)</f>
        <v>0.4902021835329215</v>
      </c>
      <c r="R121" s="58"/>
      <c r="S121" s="72">
        <f t="shared" ref="S121:U121" si="163">SUBTOTAL(9,S115:S120)</f>
        <v>885</v>
      </c>
      <c r="T121" s="59">
        <f t="shared" si="163"/>
        <v>13671.539999999999</v>
      </c>
      <c r="U121" s="73">
        <f t="shared" si="163"/>
        <v>3521.8400000000011</v>
      </c>
      <c r="V121" s="58"/>
      <c r="W121" s="74">
        <f t="shared" ref="W121" si="164">L121-Q121</f>
        <v>-5.5262113784021683E-2</v>
      </c>
      <c r="X121" s="71">
        <f t="shared" si="154"/>
        <v>-5.5262113784021683E-2</v>
      </c>
    </row>
    <row r="122" spans="1:24" s="49" customFormat="1" ht="20.25" customHeight="1" x14ac:dyDescent="0.35">
      <c r="A122" s="50" t="s">
        <v>26</v>
      </c>
      <c r="B122" s="12"/>
      <c r="C122" s="12" t="str">
        <f>C121</f>
        <v>FRAMES</v>
      </c>
      <c r="D122" s="31"/>
      <c r="E122" s="101"/>
      <c r="F122" s="102"/>
      <c r="G122" s="102"/>
      <c r="H122" s="103"/>
      <c r="I122" s="104"/>
      <c r="J122" s="105"/>
      <c r="K122" s="105"/>
      <c r="L122" s="106"/>
      <c r="M122" s="57"/>
      <c r="N122" s="104"/>
      <c r="O122" s="105"/>
      <c r="P122" s="105"/>
      <c r="Q122" s="106"/>
      <c r="R122" s="58"/>
      <c r="S122" s="107"/>
      <c r="T122" s="108"/>
      <c r="U122" s="109"/>
      <c r="V122" s="58"/>
      <c r="W122" s="110"/>
      <c r="X122" s="75"/>
    </row>
    <row r="123" spans="1:24" ht="20.25" customHeight="1" x14ac:dyDescent="0.35">
      <c r="A123" s="12" t="s">
        <v>26</v>
      </c>
      <c r="B123" s="12"/>
      <c r="C123" s="12" t="str">
        <f>E123</f>
        <v>GLASS</v>
      </c>
      <c r="D123" s="31"/>
      <c r="E123" s="32" t="str">
        <f>"GLASS"</f>
        <v>GLASS</v>
      </c>
      <c r="F123" s="33"/>
      <c r="G123" s="33"/>
      <c r="H123" s="33"/>
      <c r="I123" s="34"/>
      <c r="J123" s="31"/>
      <c r="K123" s="31"/>
      <c r="L123" s="35"/>
      <c r="N123" s="36"/>
      <c r="O123" s="33"/>
      <c r="P123" s="33"/>
      <c r="Q123" s="37"/>
      <c r="S123" s="64"/>
      <c r="T123" s="65"/>
      <c r="U123" s="66"/>
      <c r="W123" s="67"/>
      <c r="X123" s="66"/>
    </row>
    <row r="124" spans="1:24" ht="20.25" customHeight="1" x14ac:dyDescent="0.35">
      <c r="A124" s="12" t="s">
        <v>26</v>
      </c>
      <c r="B124" s="12"/>
      <c r="C124" s="12" t="str">
        <f>C123</f>
        <v>GLASS</v>
      </c>
      <c r="D124" s="31"/>
      <c r="E124" s="38"/>
      <c r="F124" s="39" t="str">
        <f>"E100043"</f>
        <v>E100043</v>
      </c>
      <c r="G124" s="40" t="str">
        <f>"Pub Glass"</f>
        <v>Pub Glass</v>
      </c>
      <c r="H124" s="41">
        <v>0.93</v>
      </c>
      <c r="I124" s="42">
        <v>721</v>
      </c>
      <c r="J124" s="43">
        <v>970.6099999999999</v>
      </c>
      <c r="K124" s="43">
        <f>J124-(I124*H124)</f>
        <v>300.07999999999981</v>
      </c>
      <c r="L124" s="44">
        <f>IF(J124=0,0,K124/J124)</f>
        <v>0.30916640051101868</v>
      </c>
      <c r="M124" s="45"/>
      <c r="N124" s="42">
        <v>583</v>
      </c>
      <c r="O124" s="43">
        <v>807.19999999999993</v>
      </c>
      <c r="P124" s="43">
        <f t="shared" ref="P124" si="165">O124-(N124*$H124)</f>
        <v>265.00999999999988</v>
      </c>
      <c r="Q124" s="44">
        <f t="shared" ref="Q124" si="166">IF(O124=0,0,P124/O124)</f>
        <v>0.3283077304261644</v>
      </c>
      <c r="S124" s="68">
        <f t="shared" ref="S124" si="167">I124-N124</f>
        <v>138</v>
      </c>
      <c r="T124" s="46">
        <f t="shared" ref="T124" si="168">J124-O124</f>
        <v>163.40999999999997</v>
      </c>
      <c r="U124" s="69">
        <f t="shared" ref="U124" si="169">K124-P124</f>
        <v>35.069999999999936</v>
      </c>
      <c r="W124" s="70">
        <f t="shared" ref="W124" si="170">L124-Q124</f>
        <v>-1.9141329915145722E-2</v>
      </c>
      <c r="X124" s="71">
        <f t="shared" ref="X124:X130" si="171">W124</f>
        <v>-1.9141329915145722E-2</v>
      </c>
    </row>
    <row r="125" spans="1:24" ht="20.25" customHeight="1" x14ac:dyDescent="0.35">
      <c r="A125" s="12" t="s">
        <v>26</v>
      </c>
      <c r="B125" s="12"/>
      <c r="C125" s="12" t="str">
        <f>C124</f>
        <v>GLASS</v>
      </c>
      <c r="D125" s="31"/>
      <c r="E125" s="38"/>
      <c r="F125" s="39" t="str">
        <f>"E100044"</f>
        <v>E100044</v>
      </c>
      <c r="G125" s="40" t="str">
        <f>"Juice Glass"</f>
        <v>Juice Glass</v>
      </c>
      <c r="H125" s="41">
        <v>0.38</v>
      </c>
      <c r="I125" s="42">
        <v>866</v>
      </c>
      <c r="J125" s="43">
        <v>483.99999999999994</v>
      </c>
      <c r="K125" s="43">
        <f>J125-(I125*H125)</f>
        <v>154.91999999999996</v>
      </c>
      <c r="L125" s="44">
        <f>IF(J125=0,0,K125/J125)</f>
        <v>0.3200826446280991</v>
      </c>
      <c r="M125" s="45"/>
      <c r="N125" s="42">
        <v>434.99999999999994</v>
      </c>
      <c r="O125" s="43">
        <v>247.26</v>
      </c>
      <c r="P125" s="43">
        <f t="shared" ref="P125:P128" si="172">O125-(N125*$H125)</f>
        <v>81.960000000000008</v>
      </c>
      <c r="Q125" s="44">
        <f t="shared" ref="Q125:Q128" si="173">IF(O125=0,0,P125/O125)</f>
        <v>0.33147294346032519</v>
      </c>
      <c r="S125" s="68">
        <f t="shared" ref="S125:S128" si="174">I125-N125</f>
        <v>431.00000000000006</v>
      </c>
      <c r="T125" s="46">
        <f t="shared" ref="T125:T128" si="175">J125-O125</f>
        <v>236.73999999999995</v>
      </c>
      <c r="U125" s="69">
        <f t="shared" ref="U125:U128" si="176">K125-P125</f>
        <v>72.959999999999951</v>
      </c>
      <c r="W125" s="70">
        <f t="shared" ref="W125:W128" si="177">L125-Q125</f>
        <v>-1.1390298832226087E-2</v>
      </c>
      <c r="X125" s="71">
        <f t="shared" si="171"/>
        <v>-1.1390298832226087E-2</v>
      </c>
    </row>
    <row r="126" spans="1:24" ht="20.25" customHeight="1" x14ac:dyDescent="0.35">
      <c r="A126" s="12" t="s">
        <v>26</v>
      </c>
      <c r="B126" s="12"/>
      <c r="C126" s="12" t="str">
        <f>C125</f>
        <v>GLASS</v>
      </c>
      <c r="D126" s="31"/>
      <c r="E126" s="38"/>
      <c r="F126" s="39" t="str">
        <f>"E100045"</f>
        <v>E100045</v>
      </c>
      <c r="G126" s="40" t="str">
        <f>"Flute"</f>
        <v>Flute</v>
      </c>
      <c r="H126" s="41">
        <v>0.62</v>
      </c>
      <c r="I126" s="42">
        <v>432</v>
      </c>
      <c r="J126" s="43">
        <v>412.00000000000006</v>
      </c>
      <c r="K126" s="43">
        <f>J126-(I126*H126)</f>
        <v>144.16000000000008</v>
      </c>
      <c r="L126" s="44">
        <f>IF(J126=0,0,K126/J126)</f>
        <v>0.34990291262135936</v>
      </c>
      <c r="M126" s="45"/>
      <c r="N126" s="42">
        <v>572</v>
      </c>
      <c r="O126" s="43">
        <v>555</v>
      </c>
      <c r="P126" s="43">
        <f t="shared" si="172"/>
        <v>200.36</v>
      </c>
      <c r="Q126" s="44">
        <f t="shared" si="173"/>
        <v>0.36100900900900901</v>
      </c>
      <c r="S126" s="68">
        <f t="shared" si="174"/>
        <v>-140</v>
      </c>
      <c r="T126" s="46">
        <f t="shared" si="175"/>
        <v>-142.99999999999994</v>
      </c>
      <c r="U126" s="69">
        <f t="shared" si="176"/>
        <v>-56.199999999999932</v>
      </c>
      <c r="W126" s="70">
        <f t="shared" si="177"/>
        <v>-1.1106096387649644E-2</v>
      </c>
      <c r="X126" s="71">
        <f t="shared" si="171"/>
        <v>-1.1106096387649644E-2</v>
      </c>
    </row>
    <row r="127" spans="1:24" ht="20.25" customHeight="1" x14ac:dyDescent="0.35">
      <c r="A127" s="12" t="s">
        <v>26</v>
      </c>
      <c r="B127" s="12"/>
      <c r="C127" s="12" t="str">
        <f>C126</f>
        <v>GLASS</v>
      </c>
      <c r="D127" s="31"/>
      <c r="E127" s="38"/>
      <c r="F127" s="39" t="str">
        <f>"E100046"</f>
        <v>E100046</v>
      </c>
      <c r="G127" s="40" t="str">
        <f>"Milk Bottle"</f>
        <v>Milk Bottle</v>
      </c>
      <c r="H127" s="41">
        <v>1.04</v>
      </c>
      <c r="I127" s="42">
        <v>474.99999999999994</v>
      </c>
      <c r="J127" s="43">
        <v>858.19999999999993</v>
      </c>
      <c r="K127" s="43">
        <f>J127-(I127*H127)</f>
        <v>364.2</v>
      </c>
      <c r="L127" s="44">
        <f>IF(J127=0,0,K127/J127)</f>
        <v>0.42437660219063156</v>
      </c>
      <c r="M127" s="45"/>
      <c r="N127" s="42">
        <v>577</v>
      </c>
      <c r="O127" s="43">
        <v>1046.45</v>
      </c>
      <c r="P127" s="43">
        <f t="shared" si="172"/>
        <v>446.37</v>
      </c>
      <c r="Q127" s="44">
        <f t="shared" si="173"/>
        <v>0.42655645276888526</v>
      </c>
      <c r="S127" s="68">
        <f t="shared" si="174"/>
        <v>-102.00000000000006</v>
      </c>
      <c r="T127" s="46">
        <f t="shared" si="175"/>
        <v>-188.25000000000011</v>
      </c>
      <c r="U127" s="69">
        <f t="shared" si="176"/>
        <v>-82.170000000000016</v>
      </c>
      <c r="W127" s="70">
        <f t="shared" si="177"/>
        <v>-2.1798505782537059E-3</v>
      </c>
      <c r="X127" s="71">
        <f t="shared" si="171"/>
        <v>-2.1798505782537059E-3</v>
      </c>
    </row>
    <row r="128" spans="1:24" ht="20.25" customHeight="1" x14ac:dyDescent="0.35">
      <c r="A128" s="12" t="s">
        <v>26</v>
      </c>
      <c r="B128" s="12"/>
      <c r="C128" s="12" t="str">
        <f>C127</f>
        <v>GLASS</v>
      </c>
      <c r="D128" s="31"/>
      <c r="E128" s="38"/>
      <c r="F128" s="39" t="str">
        <f>"E100047"</f>
        <v>E100047</v>
      </c>
      <c r="G128" s="40" t="str">
        <f>"Chardonnay Glass"</f>
        <v>Chardonnay Glass</v>
      </c>
      <c r="H128" s="41">
        <v>1.05</v>
      </c>
      <c r="I128" s="42">
        <v>1322</v>
      </c>
      <c r="J128" s="43">
        <v>2308.88</v>
      </c>
      <c r="K128" s="43">
        <f>J128-(I128*H128)</f>
        <v>920.78</v>
      </c>
      <c r="L128" s="44">
        <f>IF(J128=0,0,K128/J128)</f>
        <v>0.39879941789958767</v>
      </c>
      <c r="M128" s="45"/>
      <c r="N128" s="42">
        <v>757</v>
      </c>
      <c r="O128" s="43">
        <v>1334.55</v>
      </c>
      <c r="P128" s="43">
        <f t="shared" si="172"/>
        <v>539.69999999999993</v>
      </c>
      <c r="Q128" s="44">
        <f t="shared" si="173"/>
        <v>0.40440597954366636</v>
      </c>
      <c r="S128" s="68">
        <f t="shared" si="174"/>
        <v>565</v>
      </c>
      <c r="T128" s="46">
        <f t="shared" si="175"/>
        <v>974.33000000000015</v>
      </c>
      <c r="U128" s="69">
        <f t="shared" si="176"/>
        <v>381.08000000000004</v>
      </c>
      <c r="W128" s="70">
        <f t="shared" si="177"/>
        <v>-5.6065616440786892E-3</v>
      </c>
      <c r="X128" s="71">
        <f t="shared" si="171"/>
        <v>-5.6065616440786892E-3</v>
      </c>
    </row>
    <row r="129" spans="1:24" ht="17.25" customHeight="1" x14ac:dyDescent="0.3">
      <c r="A129" s="12" t="s">
        <v>26</v>
      </c>
      <c r="B129" s="12"/>
      <c r="C129" s="12" t="str">
        <f>C124</f>
        <v>GLASS</v>
      </c>
      <c r="D129" s="31"/>
      <c r="E129" s="38"/>
      <c r="F129" s="31"/>
      <c r="G129" s="31"/>
      <c r="H129" s="31"/>
      <c r="I129" s="42"/>
      <c r="J129" s="47"/>
      <c r="K129" s="47"/>
      <c r="L129" s="48"/>
      <c r="M129" s="45"/>
      <c r="N129" s="42"/>
      <c r="O129" s="47"/>
      <c r="P129" s="47"/>
      <c r="Q129" s="48"/>
      <c r="S129" s="68"/>
      <c r="T129" s="46"/>
      <c r="U129" s="69"/>
      <c r="W129" s="70"/>
      <c r="X129" s="71">
        <f t="shared" si="171"/>
        <v>0</v>
      </c>
    </row>
    <row r="130" spans="1:24" s="49" customFormat="1" ht="20.25" customHeight="1" x14ac:dyDescent="0.35">
      <c r="A130" s="50" t="s">
        <v>26</v>
      </c>
      <c r="B130" s="12"/>
      <c r="C130" s="12" t="str">
        <f>C129</f>
        <v>GLASS</v>
      </c>
      <c r="D130" s="31"/>
      <c r="E130" s="51"/>
      <c r="F130" s="52"/>
      <c r="G130" s="52"/>
      <c r="H130" s="53" t="str">
        <f>E123&amp;" Total"</f>
        <v>GLASS Total</v>
      </c>
      <c r="I130" s="54">
        <f>SUBTOTAL(9,I124:I129)</f>
        <v>3816</v>
      </c>
      <c r="J130" s="55">
        <f>SUBTOTAL(9,J124:J129)</f>
        <v>5033.6900000000005</v>
      </c>
      <c r="K130" s="55">
        <f>SUBTOTAL(9,K124:K129)</f>
        <v>1884.1399999999999</v>
      </c>
      <c r="L130" s="56">
        <f>IF(J130=0,0,K130/J130)</f>
        <v>0.37430592666612361</v>
      </c>
      <c r="M130" s="57"/>
      <c r="N130" s="54">
        <f>SUBTOTAL(9,N124:N129)</f>
        <v>2924</v>
      </c>
      <c r="O130" s="55">
        <f>SUBTOTAL(9,O124:O129)</f>
        <v>3990.46</v>
      </c>
      <c r="P130" s="55">
        <f t="shared" ref="P130" si="178">SUM(P124:P129)</f>
        <v>1533.3999999999999</v>
      </c>
      <c r="Q130" s="56">
        <f t="shared" ref="Q130" si="179">IF(O130=0,0,P130/O130)</f>
        <v>0.38426647554417281</v>
      </c>
      <c r="R130" s="58"/>
      <c r="S130" s="72">
        <f t="shared" ref="S130:U130" si="180">SUBTOTAL(9,S124:S129)</f>
        <v>892</v>
      </c>
      <c r="T130" s="59">
        <f t="shared" si="180"/>
        <v>1043.23</v>
      </c>
      <c r="U130" s="73">
        <f t="shared" si="180"/>
        <v>350.74</v>
      </c>
      <c r="V130" s="58"/>
      <c r="W130" s="74">
        <f t="shared" ref="W130" si="181">L130-Q130</f>
        <v>-9.9605488780492024E-3</v>
      </c>
      <c r="X130" s="71">
        <f t="shared" si="171"/>
        <v>-9.9605488780492024E-3</v>
      </c>
    </row>
    <row r="131" spans="1:24" s="49" customFormat="1" ht="20.25" customHeight="1" x14ac:dyDescent="0.35">
      <c r="A131" s="50" t="s">
        <v>26</v>
      </c>
      <c r="B131" s="12"/>
      <c r="C131" s="12" t="str">
        <f>C130</f>
        <v>GLASS</v>
      </c>
      <c r="D131" s="31"/>
      <c r="E131" s="101"/>
      <c r="F131" s="102"/>
      <c r="G131" s="102"/>
      <c r="H131" s="103"/>
      <c r="I131" s="104"/>
      <c r="J131" s="105"/>
      <c r="K131" s="105"/>
      <c r="L131" s="106"/>
      <c r="M131" s="57"/>
      <c r="N131" s="104"/>
      <c r="O131" s="105"/>
      <c r="P131" s="105"/>
      <c r="Q131" s="106"/>
      <c r="R131" s="58"/>
      <c r="S131" s="107"/>
      <c r="T131" s="108"/>
      <c r="U131" s="109"/>
      <c r="V131" s="58"/>
      <c r="W131" s="110"/>
      <c r="X131" s="75"/>
    </row>
    <row r="132" spans="1:24" ht="20.25" customHeight="1" x14ac:dyDescent="0.35">
      <c r="A132" s="12" t="s">
        <v>26</v>
      </c>
      <c r="B132" s="12"/>
      <c r="C132" s="12" t="str">
        <f>E132</f>
        <v>HEADPHONE</v>
      </c>
      <c r="D132" s="31"/>
      <c r="E132" s="32" t="str">
        <f>"HEADPHONE"</f>
        <v>HEADPHONE</v>
      </c>
      <c r="F132" s="33"/>
      <c r="G132" s="33"/>
      <c r="H132" s="33"/>
      <c r="I132" s="34"/>
      <c r="J132" s="31"/>
      <c r="K132" s="31"/>
      <c r="L132" s="35"/>
      <c r="N132" s="36"/>
      <c r="O132" s="33"/>
      <c r="P132" s="33"/>
      <c r="Q132" s="37"/>
      <c r="S132" s="64"/>
      <c r="T132" s="65"/>
      <c r="U132" s="66"/>
      <c r="W132" s="67"/>
      <c r="X132" s="66"/>
    </row>
    <row r="133" spans="1:24" ht="20.25" customHeight="1" x14ac:dyDescent="0.35">
      <c r="A133" s="12" t="s">
        <v>26</v>
      </c>
      <c r="B133" s="12"/>
      <c r="C133" s="12" t="str">
        <f>C132</f>
        <v>HEADPHONE</v>
      </c>
      <c r="D133" s="31"/>
      <c r="E133" s="38"/>
      <c r="F133" s="39" t="str">
        <f>"C100042"</f>
        <v>C100042</v>
      </c>
      <c r="G133" s="40" t="str">
        <f>"Retractable Earbuds"</f>
        <v>Retractable Earbuds</v>
      </c>
      <c r="H133" s="41">
        <v>1.0798000000000001</v>
      </c>
      <c r="I133" s="42">
        <v>433</v>
      </c>
      <c r="J133" s="43">
        <v>847.97</v>
      </c>
      <c r="K133" s="43">
        <f>J133-(I133*H133)</f>
        <v>380.41659999999996</v>
      </c>
      <c r="L133" s="44">
        <f>IF(J133=0,0,K133/J133)</f>
        <v>0.44862035213509904</v>
      </c>
      <c r="M133" s="45"/>
      <c r="N133" s="42">
        <v>752</v>
      </c>
      <c r="O133" s="43">
        <v>1503.38</v>
      </c>
      <c r="P133" s="43">
        <f t="shared" ref="P133" si="182">O133-(N133*$H133)</f>
        <v>691.37040000000002</v>
      </c>
      <c r="Q133" s="44">
        <f t="shared" ref="Q133" si="183">IF(O133=0,0,P133/O133)</f>
        <v>0.45987734305365241</v>
      </c>
      <c r="S133" s="68">
        <f t="shared" ref="S133" si="184">I133-N133</f>
        <v>-319</v>
      </c>
      <c r="T133" s="46">
        <f t="shared" ref="T133" si="185">J133-O133</f>
        <v>-655.41000000000008</v>
      </c>
      <c r="U133" s="69">
        <f t="shared" ref="U133" si="186">K133-P133</f>
        <v>-310.95380000000006</v>
      </c>
      <c r="W133" s="70">
        <f t="shared" ref="W133" si="187">L133-Q133</f>
        <v>-1.1256990918553367E-2</v>
      </c>
      <c r="X133" s="71">
        <f t="shared" ref="X133:X139" si="188">W133</f>
        <v>-1.1256990918553367E-2</v>
      </c>
    </row>
    <row r="134" spans="1:24" ht="20.25" customHeight="1" x14ac:dyDescent="0.35">
      <c r="A134" s="12" t="s">
        <v>26</v>
      </c>
      <c r="B134" s="12"/>
      <c r="C134" s="12" t="str">
        <f>C133</f>
        <v>HEADPHONE</v>
      </c>
      <c r="D134" s="31"/>
      <c r="E134" s="38"/>
      <c r="F134" s="39" t="str">
        <f>"C100043"</f>
        <v>C100043</v>
      </c>
      <c r="G134" s="40" t="str">
        <f>"Pro-Travel Technology Set"</f>
        <v>Pro-Travel Technology Set</v>
      </c>
      <c r="H134" s="41">
        <v>14.9994</v>
      </c>
      <c r="I134" s="42">
        <v>313</v>
      </c>
      <c r="J134" s="43">
        <v>9837.130000000001</v>
      </c>
      <c r="K134" s="43">
        <f>J134-(I134*H134)</f>
        <v>5142.3178000000007</v>
      </c>
      <c r="L134" s="44">
        <f>IF(J134=0,0,K134/J134)</f>
        <v>0.52274573986518424</v>
      </c>
      <c r="M134" s="45"/>
      <c r="N134" s="42">
        <v>338</v>
      </c>
      <c r="O134" s="43">
        <v>10784.14</v>
      </c>
      <c r="P134" s="43">
        <f t="shared" ref="P134:P137" si="189">O134-(N134*$H134)</f>
        <v>5714.3427999999994</v>
      </c>
      <c r="Q134" s="44">
        <f t="shared" ref="Q134:Q137" si="190">IF(O134=0,0,P134/O134)</f>
        <v>0.52988395922159759</v>
      </c>
      <c r="S134" s="68">
        <f t="shared" ref="S134:S137" si="191">I134-N134</f>
        <v>-25</v>
      </c>
      <c r="T134" s="46">
        <f t="shared" ref="T134:T137" si="192">J134-O134</f>
        <v>-947.0099999999984</v>
      </c>
      <c r="U134" s="69">
        <f t="shared" ref="U134:U137" si="193">K134-P134</f>
        <v>-572.02499999999873</v>
      </c>
      <c r="W134" s="70">
        <f t="shared" ref="W134:W137" si="194">L134-Q134</f>
        <v>-7.1382193564133445E-3</v>
      </c>
      <c r="X134" s="71">
        <f t="shared" si="188"/>
        <v>-7.1382193564133445E-3</v>
      </c>
    </row>
    <row r="135" spans="1:24" ht="20.25" customHeight="1" x14ac:dyDescent="0.35">
      <c r="A135" s="12" t="s">
        <v>26</v>
      </c>
      <c r="B135" s="12"/>
      <c r="C135" s="12" t="str">
        <f>C134</f>
        <v>HEADPHONE</v>
      </c>
      <c r="D135" s="31"/>
      <c r="E135" s="38"/>
      <c r="F135" s="39" t="str">
        <f>"C100044"</f>
        <v>C100044</v>
      </c>
      <c r="G135" s="40" t="str">
        <f>"VOIP Headset with Mic"</f>
        <v>VOIP Headset with Mic</v>
      </c>
      <c r="H135" s="41">
        <v>1.2</v>
      </c>
      <c r="I135" s="42">
        <v>819</v>
      </c>
      <c r="J135" s="43">
        <v>1720.8200000000002</v>
      </c>
      <c r="K135" s="43">
        <f>J135-(I135*H135)</f>
        <v>738.02000000000021</v>
      </c>
      <c r="L135" s="44">
        <f>IF(J135=0,0,K135/J135)</f>
        <v>0.42887693076556532</v>
      </c>
      <c r="M135" s="45"/>
      <c r="N135" s="42">
        <v>1449</v>
      </c>
      <c r="O135" s="43">
        <v>3111</v>
      </c>
      <c r="P135" s="43">
        <f t="shared" si="189"/>
        <v>1372.2</v>
      </c>
      <c r="Q135" s="44">
        <f t="shared" si="190"/>
        <v>0.4410800385728062</v>
      </c>
      <c r="S135" s="68">
        <f t="shared" si="191"/>
        <v>-630</v>
      </c>
      <c r="T135" s="46">
        <f t="shared" si="192"/>
        <v>-1390.1799999999998</v>
      </c>
      <c r="U135" s="69">
        <f t="shared" si="193"/>
        <v>-634.17999999999984</v>
      </c>
      <c r="W135" s="70">
        <f t="shared" si="194"/>
        <v>-1.2203107807240876E-2</v>
      </c>
      <c r="X135" s="71">
        <f t="shared" si="188"/>
        <v>-1.2203107807240876E-2</v>
      </c>
    </row>
    <row r="136" spans="1:24" ht="20.25" customHeight="1" x14ac:dyDescent="0.35">
      <c r="A136" s="12" t="s">
        <v>26</v>
      </c>
      <c r="B136" s="12"/>
      <c r="C136" s="12" t="str">
        <f>C135</f>
        <v>HEADPHONE</v>
      </c>
      <c r="D136" s="31"/>
      <c r="E136" s="38"/>
      <c r="F136" s="39" t="str">
        <f>"C100045"</f>
        <v>C100045</v>
      </c>
      <c r="G136" s="40" t="str">
        <f>"Wireless Headphones"</f>
        <v>Wireless Headphones</v>
      </c>
      <c r="H136" s="41">
        <v>13.8</v>
      </c>
      <c r="I136" s="42">
        <v>457</v>
      </c>
      <c r="J136" s="43">
        <v>12240.820000000002</v>
      </c>
      <c r="K136" s="43">
        <f>J136-(I136*H136)</f>
        <v>5934.2200000000012</v>
      </c>
      <c r="L136" s="44">
        <f>IF(J136=0,0,K136/J136)</f>
        <v>0.48478941770240885</v>
      </c>
      <c r="M136" s="45"/>
      <c r="N136" s="42">
        <v>2</v>
      </c>
      <c r="O136" s="43">
        <v>55.16</v>
      </c>
      <c r="P136" s="43">
        <f t="shared" si="189"/>
        <v>27.559999999999995</v>
      </c>
      <c r="Q136" s="44">
        <f t="shared" si="190"/>
        <v>0.49963741841914427</v>
      </c>
      <c r="S136" s="68">
        <f t="shared" si="191"/>
        <v>455</v>
      </c>
      <c r="T136" s="46">
        <f t="shared" si="192"/>
        <v>12185.660000000002</v>
      </c>
      <c r="U136" s="69">
        <f t="shared" si="193"/>
        <v>5906.6600000000008</v>
      </c>
      <c r="W136" s="70">
        <f t="shared" si="194"/>
        <v>-1.4848000716735421E-2</v>
      </c>
      <c r="X136" s="71">
        <f t="shared" si="188"/>
        <v>-1.4848000716735421E-2</v>
      </c>
    </row>
    <row r="137" spans="1:24" ht="20.25" customHeight="1" x14ac:dyDescent="0.35">
      <c r="A137" s="12" t="s">
        <v>26</v>
      </c>
      <c r="B137" s="12"/>
      <c r="C137" s="12" t="str">
        <f>C136</f>
        <v>HEADPHONE</v>
      </c>
      <c r="D137" s="31"/>
      <c r="E137" s="38"/>
      <c r="F137" s="39" t="str">
        <f>"E100023"</f>
        <v>E100023</v>
      </c>
      <c r="G137" s="40" t="str">
        <f>"Sport Earbuds"</f>
        <v>Sport Earbuds</v>
      </c>
      <c r="H137" s="41">
        <v>2.0998000000000001</v>
      </c>
      <c r="I137" s="42">
        <v>577</v>
      </c>
      <c r="J137" s="43">
        <v>2549.0899999999997</v>
      </c>
      <c r="K137" s="43">
        <f>J137-(I137*H137)</f>
        <v>1337.5053999999996</v>
      </c>
      <c r="L137" s="44">
        <f>IF(J137=0,0,K137/J137)</f>
        <v>0.52469916715376852</v>
      </c>
      <c r="M137" s="45"/>
      <c r="N137" s="42">
        <v>871.99999999999989</v>
      </c>
      <c r="O137" s="43">
        <v>3856.0099999999998</v>
      </c>
      <c r="P137" s="43">
        <f t="shared" si="189"/>
        <v>2024.9843999999998</v>
      </c>
      <c r="Q137" s="44">
        <f t="shared" si="190"/>
        <v>0.52515019411256714</v>
      </c>
      <c r="S137" s="68">
        <f t="shared" si="191"/>
        <v>-294.99999999999989</v>
      </c>
      <c r="T137" s="46">
        <f t="shared" si="192"/>
        <v>-1306.92</v>
      </c>
      <c r="U137" s="69">
        <f t="shared" si="193"/>
        <v>-687.47900000000027</v>
      </c>
      <c r="W137" s="70">
        <f t="shared" si="194"/>
        <v>-4.5102695879861709E-4</v>
      </c>
      <c r="X137" s="71">
        <f t="shared" si="188"/>
        <v>-4.5102695879861709E-4</v>
      </c>
    </row>
    <row r="138" spans="1:24" ht="17.25" customHeight="1" x14ac:dyDescent="0.3">
      <c r="A138" s="12" t="s">
        <v>26</v>
      </c>
      <c r="B138" s="12"/>
      <c r="C138" s="12" t="str">
        <f>C133</f>
        <v>HEADPHONE</v>
      </c>
      <c r="D138" s="31"/>
      <c r="E138" s="38"/>
      <c r="F138" s="31"/>
      <c r="G138" s="31"/>
      <c r="H138" s="31"/>
      <c r="I138" s="42"/>
      <c r="J138" s="47"/>
      <c r="K138" s="47"/>
      <c r="L138" s="48"/>
      <c r="M138" s="45"/>
      <c r="N138" s="42"/>
      <c r="O138" s="47"/>
      <c r="P138" s="47"/>
      <c r="Q138" s="48"/>
      <c r="S138" s="68"/>
      <c r="T138" s="46"/>
      <c r="U138" s="69"/>
      <c r="W138" s="70"/>
      <c r="X138" s="71">
        <f t="shared" si="188"/>
        <v>0</v>
      </c>
    </row>
    <row r="139" spans="1:24" s="49" customFormat="1" ht="20.25" customHeight="1" x14ac:dyDescent="0.35">
      <c r="A139" s="50" t="s">
        <v>26</v>
      </c>
      <c r="B139" s="12"/>
      <c r="C139" s="12" t="str">
        <f>C138</f>
        <v>HEADPHONE</v>
      </c>
      <c r="D139" s="31"/>
      <c r="E139" s="51"/>
      <c r="F139" s="52"/>
      <c r="G139" s="52"/>
      <c r="H139" s="53" t="str">
        <f>E132&amp;" Total"</f>
        <v>HEADPHONE Total</v>
      </c>
      <c r="I139" s="54">
        <f>SUBTOTAL(9,I133:I138)</f>
        <v>2599</v>
      </c>
      <c r="J139" s="55">
        <f>SUBTOTAL(9,J133:J138)</f>
        <v>27195.83</v>
      </c>
      <c r="K139" s="55">
        <f>SUBTOTAL(9,K133:K138)</f>
        <v>13532.479800000003</v>
      </c>
      <c r="L139" s="56">
        <f>IF(J139=0,0,K139/J139)</f>
        <v>0.49759392524515716</v>
      </c>
      <c r="M139" s="57"/>
      <c r="N139" s="54">
        <f>SUBTOTAL(9,N133:N138)</f>
        <v>3413</v>
      </c>
      <c r="O139" s="55">
        <f>SUBTOTAL(9,O133:O138)</f>
        <v>19309.689999999999</v>
      </c>
      <c r="P139" s="55">
        <f t="shared" ref="P139" si="195">SUM(P133:P138)</f>
        <v>9830.4575999999997</v>
      </c>
      <c r="Q139" s="56">
        <f t="shared" ref="Q139" si="196">IF(O139=0,0,P139/O139)</f>
        <v>0.50909453233065882</v>
      </c>
      <c r="R139" s="58"/>
      <c r="S139" s="72">
        <f t="shared" ref="S139:U139" si="197">SUBTOTAL(9,S133:S138)</f>
        <v>-813.99999999999989</v>
      </c>
      <c r="T139" s="59">
        <f t="shared" si="197"/>
        <v>7886.1400000000031</v>
      </c>
      <c r="U139" s="73">
        <f t="shared" si="197"/>
        <v>3702.0222000000022</v>
      </c>
      <c r="V139" s="58"/>
      <c r="W139" s="74">
        <f t="shared" ref="W139" si="198">L139-Q139</f>
        <v>-1.1500607085501657E-2</v>
      </c>
      <c r="X139" s="71">
        <f t="shared" si="188"/>
        <v>-1.1500607085501657E-2</v>
      </c>
    </row>
    <row r="140" spans="1:24" s="49" customFormat="1" ht="20.25" customHeight="1" x14ac:dyDescent="0.35">
      <c r="A140" s="50" t="s">
        <v>26</v>
      </c>
      <c r="B140" s="12"/>
      <c r="C140" s="12" t="str">
        <f>C139</f>
        <v>HEADPHONE</v>
      </c>
      <c r="D140" s="31"/>
      <c r="E140" s="101"/>
      <c r="F140" s="102"/>
      <c r="G140" s="102"/>
      <c r="H140" s="103"/>
      <c r="I140" s="104"/>
      <c r="J140" s="105"/>
      <c r="K140" s="105"/>
      <c r="L140" s="106"/>
      <c r="M140" s="57"/>
      <c r="N140" s="104"/>
      <c r="O140" s="105"/>
      <c r="P140" s="105"/>
      <c r="Q140" s="106"/>
      <c r="R140" s="58"/>
      <c r="S140" s="107"/>
      <c r="T140" s="108"/>
      <c r="U140" s="109"/>
      <c r="V140" s="58"/>
      <c r="W140" s="110"/>
      <c r="X140" s="75"/>
    </row>
    <row r="141" spans="1:24" ht="20.25" customHeight="1" x14ac:dyDescent="0.35">
      <c r="A141" s="12" t="s">
        <v>26</v>
      </c>
      <c r="B141" s="12"/>
      <c r="C141" s="12" t="str">
        <f>E141</f>
        <v>KNIT</v>
      </c>
      <c r="D141" s="31"/>
      <c r="E141" s="32" t="str">
        <f>"KNIT"</f>
        <v>KNIT</v>
      </c>
      <c r="F141" s="33"/>
      <c r="G141" s="33"/>
      <c r="H141" s="33"/>
      <c r="I141" s="34"/>
      <c r="J141" s="31"/>
      <c r="K141" s="31"/>
      <c r="L141" s="35"/>
      <c r="N141" s="36"/>
      <c r="O141" s="33"/>
      <c r="P141" s="33"/>
      <c r="Q141" s="37"/>
      <c r="S141" s="64"/>
      <c r="T141" s="65"/>
      <c r="U141" s="66"/>
      <c r="W141" s="67"/>
      <c r="X141" s="66"/>
    </row>
    <row r="142" spans="1:24" ht="20.25" customHeight="1" x14ac:dyDescent="0.35">
      <c r="A142" s="12" t="s">
        <v>26</v>
      </c>
      <c r="B142" s="12"/>
      <c r="C142" s="12" t="str">
        <f>C141</f>
        <v>KNIT</v>
      </c>
      <c r="D142" s="31"/>
      <c r="E142" s="38"/>
      <c r="F142" s="39" t="str">
        <f>"C100023"</f>
        <v>C100023</v>
      </c>
      <c r="G142" s="40" t="str">
        <f>"Two-Toned Knit Hat"</f>
        <v>Two-Toned Knit Hat</v>
      </c>
      <c r="H142" s="41">
        <v>1.26</v>
      </c>
      <c r="I142" s="42">
        <v>1371</v>
      </c>
      <c r="J142" s="43">
        <v>3524.21</v>
      </c>
      <c r="K142" s="43">
        <f>J142-(I142*H142)</f>
        <v>1796.75</v>
      </c>
      <c r="L142" s="44">
        <f>IF(J142=0,0,K142/J142)</f>
        <v>0.50983057195797077</v>
      </c>
      <c r="M142" s="45"/>
      <c r="N142" s="42">
        <v>1502</v>
      </c>
      <c r="O142" s="43">
        <v>3898.6</v>
      </c>
      <c r="P142" s="43">
        <f t="shared" ref="P142" si="199">O142-(N142*$H142)</f>
        <v>2006.08</v>
      </c>
      <c r="Q142" s="44">
        <f t="shared" ref="Q142" si="200">IF(O142=0,0,P142/O142)</f>
        <v>0.51456420253424306</v>
      </c>
      <c r="S142" s="68">
        <f t="shared" ref="S142" si="201">I142-N142</f>
        <v>-131</v>
      </c>
      <c r="T142" s="46">
        <f t="shared" ref="T142" si="202">J142-O142</f>
        <v>-374.38999999999987</v>
      </c>
      <c r="U142" s="69">
        <f t="shared" ref="U142" si="203">K142-P142</f>
        <v>-209.32999999999993</v>
      </c>
      <c r="W142" s="70">
        <f t="shared" ref="W142" si="204">L142-Q142</f>
        <v>-4.7336305762722963E-3</v>
      </c>
      <c r="X142" s="71">
        <f t="shared" ref="X142:X148" si="205">W142</f>
        <v>-4.7336305762722963E-3</v>
      </c>
    </row>
    <row r="143" spans="1:24" ht="20.25" customHeight="1" x14ac:dyDescent="0.35">
      <c r="A143" s="12" t="s">
        <v>26</v>
      </c>
      <c r="B143" s="12"/>
      <c r="C143" s="12" t="str">
        <f>C142</f>
        <v>KNIT</v>
      </c>
      <c r="D143" s="31"/>
      <c r="E143" s="38"/>
      <c r="F143" s="39" t="str">
        <f>"C100024"</f>
        <v>C100024</v>
      </c>
      <c r="G143" s="40" t="str">
        <f>"Knit Hat with Bill"</f>
        <v>Knit Hat with Bill</v>
      </c>
      <c r="H143" s="41">
        <v>3</v>
      </c>
      <c r="I143" s="42">
        <v>723</v>
      </c>
      <c r="J143" s="43">
        <v>3698.1600000000003</v>
      </c>
      <c r="K143" s="43">
        <f>J143-(I143*H143)</f>
        <v>1529.1600000000003</v>
      </c>
      <c r="L143" s="44">
        <f>IF(J143=0,0,K143/J143)</f>
        <v>0.41349211499772864</v>
      </c>
      <c r="M143" s="45"/>
      <c r="N143" s="42">
        <v>301</v>
      </c>
      <c r="O143" s="43">
        <v>1536.1</v>
      </c>
      <c r="P143" s="43">
        <f t="shared" ref="P143:P146" si="206">O143-(N143*$H143)</f>
        <v>633.09999999999991</v>
      </c>
      <c r="Q143" s="44">
        <f t="shared" ref="Q143:Q146" si="207">IF(O143=0,0,P143/O143)</f>
        <v>0.41214764663758868</v>
      </c>
      <c r="S143" s="68">
        <f t="shared" ref="S143:S146" si="208">I143-N143</f>
        <v>422</v>
      </c>
      <c r="T143" s="46">
        <f t="shared" ref="T143:T146" si="209">J143-O143</f>
        <v>2162.0600000000004</v>
      </c>
      <c r="U143" s="69">
        <f t="shared" ref="U143:U146" si="210">K143-P143</f>
        <v>896.0600000000004</v>
      </c>
      <c r="W143" s="70">
        <f t="shared" ref="W143:W146" si="211">L143-Q143</f>
        <v>1.344468360139961E-3</v>
      </c>
      <c r="X143" s="71">
        <f t="shared" si="205"/>
        <v>1.344468360139961E-3</v>
      </c>
    </row>
    <row r="144" spans="1:24" ht="20.25" customHeight="1" x14ac:dyDescent="0.35">
      <c r="A144" s="12" t="s">
        <v>26</v>
      </c>
      <c r="B144" s="12"/>
      <c r="C144" s="12" t="str">
        <f>C143</f>
        <v>KNIT</v>
      </c>
      <c r="D144" s="31"/>
      <c r="E144" s="38"/>
      <c r="F144" s="39" t="str">
        <f>"C100025"</f>
        <v>C100025</v>
      </c>
      <c r="G144" s="40" t="str">
        <f>"Striped Knit Hat"</f>
        <v>Striped Knit Hat</v>
      </c>
      <c r="H144" s="41">
        <v>1.38</v>
      </c>
      <c r="I144" s="42">
        <v>1648.0000000000002</v>
      </c>
      <c r="J144" s="43">
        <v>4759.46</v>
      </c>
      <c r="K144" s="43">
        <f>J144-(I144*H144)</f>
        <v>2485.2199999999998</v>
      </c>
      <c r="L144" s="44">
        <f>IF(J144=0,0,K144/J144)</f>
        <v>0.5221642791409109</v>
      </c>
      <c r="M144" s="45"/>
      <c r="N144" s="42">
        <v>1970.0000000000002</v>
      </c>
      <c r="O144" s="43">
        <v>5744.54</v>
      </c>
      <c r="P144" s="43">
        <f t="shared" si="206"/>
        <v>3025.94</v>
      </c>
      <c r="Q144" s="44">
        <f t="shared" si="207"/>
        <v>0.5267506188485066</v>
      </c>
      <c r="S144" s="68">
        <f t="shared" si="208"/>
        <v>-322</v>
      </c>
      <c r="T144" s="46">
        <f t="shared" si="209"/>
        <v>-985.07999999999993</v>
      </c>
      <c r="U144" s="69">
        <f t="shared" si="210"/>
        <v>-540.72000000000025</v>
      </c>
      <c r="W144" s="70">
        <f t="shared" si="211"/>
        <v>-4.5863397075956991E-3</v>
      </c>
      <c r="X144" s="71">
        <f t="shared" si="205"/>
        <v>-4.5863397075956991E-3</v>
      </c>
    </row>
    <row r="145" spans="1:24" ht="20.25" customHeight="1" x14ac:dyDescent="0.35">
      <c r="A145" s="12" t="s">
        <v>26</v>
      </c>
      <c r="B145" s="12"/>
      <c r="C145" s="12" t="str">
        <f>C144</f>
        <v>KNIT</v>
      </c>
      <c r="D145" s="31"/>
      <c r="E145" s="38"/>
      <c r="F145" s="39" t="str">
        <f>"C100026"</f>
        <v>C100026</v>
      </c>
      <c r="G145" s="40" t="str">
        <f>"Fleece Beanie"</f>
        <v>Fleece Beanie</v>
      </c>
      <c r="H145" s="41">
        <v>2.0002</v>
      </c>
      <c r="I145" s="42">
        <v>2792</v>
      </c>
      <c r="J145" s="43">
        <v>8373.7200000000012</v>
      </c>
      <c r="K145" s="43">
        <f>J145-(I145*H145)</f>
        <v>2789.1616000000013</v>
      </c>
      <c r="L145" s="44">
        <f>IF(J145=0,0,K145/J145)</f>
        <v>0.3330851282345243</v>
      </c>
      <c r="M145" s="45"/>
      <c r="N145" s="42">
        <v>1330</v>
      </c>
      <c r="O145" s="43">
        <v>4043.79</v>
      </c>
      <c r="P145" s="43">
        <f t="shared" si="206"/>
        <v>1383.5239999999999</v>
      </c>
      <c r="Q145" s="44">
        <f t="shared" si="207"/>
        <v>0.34213547192114324</v>
      </c>
      <c r="S145" s="68">
        <f t="shared" si="208"/>
        <v>1462</v>
      </c>
      <c r="T145" s="46">
        <f t="shared" si="209"/>
        <v>4329.9300000000012</v>
      </c>
      <c r="U145" s="69">
        <f t="shared" si="210"/>
        <v>1405.6376000000014</v>
      </c>
      <c r="W145" s="70">
        <f t="shared" si="211"/>
        <v>-9.0503436866189446E-3</v>
      </c>
      <c r="X145" s="71">
        <f t="shared" si="205"/>
        <v>-9.0503436866189446E-3</v>
      </c>
    </row>
    <row r="146" spans="1:24" ht="20.25" customHeight="1" x14ac:dyDescent="0.35">
      <c r="A146" s="12" t="s">
        <v>26</v>
      </c>
      <c r="B146" s="12"/>
      <c r="C146" s="12" t="str">
        <f>C145</f>
        <v>KNIT</v>
      </c>
      <c r="D146" s="31"/>
      <c r="E146" s="38"/>
      <c r="F146" s="39" t="str">
        <f>"S100014"</f>
        <v>S100014</v>
      </c>
      <c r="G146" s="40" t="str">
        <f>"Chunky Knit Hat"</f>
        <v>Chunky Knit Hat</v>
      </c>
      <c r="H146" s="41">
        <v>5.16</v>
      </c>
      <c r="I146" s="42">
        <v>909</v>
      </c>
      <c r="J146" s="43">
        <v>8675.25</v>
      </c>
      <c r="K146" s="43">
        <f>J146-(I146*H146)</f>
        <v>3984.8099999999995</v>
      </c>
      <c r="L146" s="44">
        <f>IF(J146=0,0,K146/J146)</f>
        <v>0.45933085501858728</v>
      </c>
      <c r="M146" s="45"/>
      <c r="N146" s="42">
        <v>1056</v>
      </c>
      <c r="O146" s="43">
        <v>10024.230000000001</v>
      </c>
      <c r="P146" s="43">
        <f t="shared" si="206"/>
        <v>4575.2700000000013</v>
      </c>
      <c r="Q146" s="44">
        <f t="shared" si="207"/>
        <v>0.45642109169482353</v>
      </c>
      <c r="S146" s="68">
        <f t="shared" si="208"/>
        <v>-147</v>
      </c>
      <c r="T146" s="46">
        <f t="shared" si="209"/>
        <v>-1348.9800000000014</v>
      </c>
      <c r="U146" s="69">
        <f t="shared" si="210"/>
        <v>-590.46000000000186</v>
      </c>
      <c r="W146" s="70">
        <f t="shared" si="211"/>
        <v>2.9097633237637477E-3</v>
      </c>
      <c r="X146" s="71">
        <f t="shared" si="205"/>
        <v>2.9097633237637477E-3</v>
      </c>
    </row>
    <row r="147" spans="1:24" ht="17.25" customHeight="1" x14ac:dyDescent="0.3">
      <c r="A147" s="12" t="s">
        <v>26</v>
      </c>
      <c r="B147" s="12"/>
      <c r="C147" s="12" t="str">
        <f>C142</f>
        <v>KNIT</v>
      </c>
      <c r="D147" s="31"/>
      <c r="E147" s="38"/>
      <c r="F147" s="31"/>
      <c r="G147" s="31"/>
      <c r="H147" s="31"/>
      <c r="I147" s="42"/>
      <c r="J147" s="47"/>
      <c r="K147" s="47"/>
      <c r="L147" s="48"/>
      <c r="M147" s="45"/>
      <c r="N147" s="42"/>
      <c r="O147" s="47"/>
      <c r="P147" s="47"/>
      <c r="Q147" s="48"/>
      <c r="S147" s="68"/>
      <c r="T147" s="46"/>
      <c r="U147" s="69"/>
      <c r="W147" s="70"/>
      <c r="X147" s="71">
        <f t="shared" si="205"/>
        <v>0</v>
      </c>
    </row>
    <row r="148" spans="1:24" s="49" customFormat="1" ht="20.25" customHeight="1" x14ac:dyDescent="0.35">
      <c r="A148" s="50" t="s">
        <v>26</v>
      </c>
      <c r="B148" s="12"/>
      <c r="C148" s="12" t="str">
        <f>C147</f>
        <v>KNIT</v>
      </c>
      <c r="D148" s="31"/>
      <c r="E148" s="51"/>
      <c r="F148" s="52"/>
      <c r="G148" s="52"/>
      <c r="H148" s="53" t="str">
        <f>E141&amp;" Total"</f>
        <v>KNIT Total</v>
      </c>
      <c r="I148" s="54">
        <f>SUBTOTAL(9,I142:I147)</f>
        <v>7443</v>
      </c>
      <c r="J148" s="55">
        <f>SUBTOTAL(9,J142:J147)</f>
        <v>29030.800000000003</v>
      </c>
      <c r="K148" s="55">
        <f>SUBTOTAL(9,K142:K147)</f>
        <v>12585.1016</v>
      </c>
      <c r="L148" s="56">
        <f>IF(J148=0,0,K148/J148)</f>
        <v>0.43350860465436702</v>
      </c>
      <c r="M148" s="57"/>
      <c r="N148" s="54">
        <f>SUBTOTAL(9,N142:N147)</f>
        <v>6159</v>
      </c>
      <c r="O148" s="55">
        <f>SUBTOTAL(9,O142:O147)</f>
        <v>25247.260000000002</v>
      </c>
      <c r="P148" s="55">
        <f t="shared" ref="P148" si="212">SUM(P142:P147)</f>
        <v>11623.914000000001</v>
      </c>
      <c r="Q148" s="56">
        <f t="shared" ref="Q148" si="213">IF(O148=0,0,P148/O148)</f>
        <v>0.46040299026508225</v>
      </c>
      <c r="R148" s="58"/>
      <c r="S148" s="72">
        <f t="shared" ref="S148:U148" si="214">SUBTOTAL(9,S142:S147)</f>
        <v>1284</v>
      </c>
      <c r="T148" s="59">
        <f t="shared" si="214"/>
        <v>3783.5400000000009</v>
      </c>
      <c r="U148" s="73">
        <f t="shared" si="214"/>
        <v>961.18759999999975</v>
      </c>
      <c r="V148" s="58"/>
      <c r="W148" s="74">
        <f t="shared" ref="W148" si="215">L148-Q148</f>
        <v>-2.6894385610715221E-2</v>
      </c>
      <c r="X148" s="71">
        <f t="shared" si="205"/>
        <v>-2.6894385610715221E-2</v>
      </c>
    </row>
    <row r="149" spans="1:24" s="49" customFormat="1" ht="20.25" customHeight="1" x14ac:dyDescent="0.35">
      <c r="A149" s="50" t="s">
        <v>26</v>
      </c>
      <c r="B149" s="12"/>
      <c r="C149" s="12" t="str">
        <f>C148</f>
        <v>KNIT</v>
      </c>
      <c r="D149" s="31"/>
      <c r="E149" s="101"/>
      <c r="F149" s="102"/>
      <c r="G149" s="102"/>
      <c r="H149" s="103"/>
      <c r="I149" s="104"/>
      <c r="J149" s="105"/>
      <c r="K149" s="105"/>
      <c r="L149" s="106"/>
      <c r="M149" s="57"/>
      <c r="N149" s="104"/>
      <c r="O149" s="105"/>
      <c r="P149" s="105"/>
      <c r="Q149" s="106"/>
      <c r="R149" s="58"/>
      <c r="S149" s="107"/>
      <c r="T149" s="108"/>
      <c r="U149" s="109"/>
      <c r="V149" s="58"/>
      <c r="W149" s="110"/>
      <c r="X149" s="75"/>
    </row>
    <row r="150" spans="1:24" ht="20.25" customHeight="1" x14ac:dyDescent="0.35">
      <c r="A150" s="12" t="s">
        <v>26</v>
      </c>
      <c r="B150" s="12"/>
      <c r="C150" s="12" t="str">
        <f>E150</f>
        <v>MP3</v>
      </c>
      <c r="D150" s="31"/>
      <c r="E150" s="32" t="str">
        <f>"MP3"</f>
        <v>MP3</v>
      </c>
      <c r="F150" s="33"/>
      <c r="G150" s="33"/>
      <c r="H150" s="33"/>
      <c r="I150" s="34"/>
      <c r="J150" s="31"/>
      <c r="K150" s="31"/>
      <c r="L150" s="35"/>
      <c r="N150" s="36"/>
      <c r="O150" s="33"/>
      <c r="P150" s="33"/>
      <c r="Q150" s="37"/>
      <c r="S150" s="64"/>
      <c r="T150" s="65"/>
      <c r="U150" s="66"/>
      <c r="W150" s="67"/>
      <c r="X150" s="66"/>
    </row>
    <row r="151" spans="1:24" ht="20.25" customHeight="1" x14ac:dyDescent="0.35">
      <c r="A151" s="12" t="s">
        <v>26</v>
      </c>
      <c r="B151" s="12"/>
      <c r="C151" s="12" t="str">
        <f>C150</f>
        <v>MP3</v>
      </c>
      <c r="D151" s="31"/>
      <c r="E151" s="38"/>
      <c r="F151" s="39" t="str">
        <f>"C100046"</f>
        <v>C100046</v>
      </c>
      <c r="G151" s="40" t="str">
        <f>"1GB MP3 Player"</f>
        <v>1GB MP3 Player</v>
      </c>
      <c r="H151" s="41">
        <v>11.52</v>
      </c>
      <c r="I151" s="42">
        <v>458.99999999999994</v>
      </c>
      <c r="J151" s="43">
        <v>8803.89</v>
      </c>
      <c r="K151" s="43">
        <f>J151-(I151*H151)</f>
        <v>3516.21</v>
      </c>
      <c r="L151" s="44">
        <f>IF(J151=0,0,K151/J151)</f>
        <v>0.3993927684239581</v>
      </c>
      <c r="M151" s="45"/>
      <c r="N151" s="42">
        <v>0</v>
      </c>
      <c r="O151" s="43">
        <v>0</v>
      </c>
      <c r="P151" s="43">
        <f t="shared" ref="P151" si="216">O151-(N151*$H151)</f>
        <v>0</v>
      </c>
      <c r="Q151" s="44">
        <f t="shared" ref="Q151" si="217">IF(O151=0,0,P151/O151)</f>
        <v>0</v>
      </c>
      <c r="S151" s="68">
        <f t="shared" ref="S151" si="218">I151-N151</f>
        <v>458.99999999999994</v>
      </c>
      <c r="T151" s="46">
        <f t="shared" ref="T151" si="219">J151-O151</f>
        <v>8803.89</v>
      </c>
      <c r="U151" s="69">
        <f t="shared" ref="U151" si="220">K151-P151</f>
        <v>3516.21</v>
      </c>
      <c r="W151" s="70">
        <f t="shared" ref="W151" si="221">L151-Q151</f>
        <v>0.3993927684239581</v>
      </c>
      <c r="X151" s="71">
        <f t="shared" ref="X151:X157" si="222">W151</f>
        <v>0.3993927684239581</v>
      </c>
    </row>
    <row r="152" spans="1:24" ht="20.25" customHeight="1" x14ac:dyDescent="0.35">
      <c r="A152" s="12" t="s">
        <v>26</v>
      </c>
      <c r="B152" s="12"/>
      <c r="C152" s="12" t="str">
        <f>C151</f>
        <v>MP3</v>
      </c>
      <c r="D152" s="31"/>
      <c r="E152" s="38"/>
      <c r="F152" s="39" t="str">
        <f>"C100047"</f>
        <v>C100047</v>
      </c>
      <c r="G152" s="40" t="str">
        <f>"2GB MP3 Player"</f>
        <v>2GB MP3 Player</v>
      </c>
      <c r="H152" s="41">
        <v>16.649999999999999</v>
      </c>
      <c r="I152" s="42">
        <v>102</v>
      </c>
      <c r="J152" s="43">
        <v>2752.0899999999997</v>
      </c>
      <c r="K152" s="43">
        <f>J152-(I152*H152)</f>
        <v>1053.7899999999997</v>
      </c>
      <c r="L152" s="44">
        <f>IF(J152=0,0,K152/J152)</f>
        <v>0.38290535556613331</v>
      </c>
      <c r="M152" s="45"/>
      <c r="N152" s="42">
        <v>0</v>
      </c>
      <c r="O152" s="43">
        <v>0</v>
      </c>
      <c r="P152" s="43">
        <f t="shared" ref="P152:P155" si="223">O152-(N152*$H152)</f>
        <v>0</v>
      </c>
      <c r="Q152" s="44">
        <f t="shared" ref="Q152:Q155" si="224">IF(O152=0,0,P152/O152)</f>
        <v>0</v>
      </c>
      <c r="S152" s="68">
        <f t="shared" ref="S152:S155" si="225">I152-N152</f>
        <v>102</v>
      </c>
      <c r="T152" s="46">
        <f t="shared" ref="T152:T155" si="226">J152-O152</f>
        <v>2752.0899999999997</v>
      </c>
      <c r="U152" s="69">
        <f t="shared" ref="U152:U155" si="227">K152-P152</f>
        <v>1053.7899999999997</v>
      </c>
      <c r="W152" s="70">
        <f t="shared" ref="W152:W155" si="228">L152-Q152</f>
        <v>0.38290535556613331</v>
      </c>
      <c r="X152" s="71">
        <f t="shared" si="222"/>
        <v>0.38290535556613331</v>
      </c>
    </row>
    <row r="153" spans="1:24" ht="20.25" customHeight="1" x14ac:dyDescent="0.35">
      <c r="A153" s="12" t="s">
        <v>26</v>
      </c>
      <c r="B153" s="12"/>
      <c r="C153" s="12" t="str">
        <f>C152</f>
        <v>MP3</v>
      </c>
      <c r="D153" s="31"/>
      <c r="E153" s="38"/>
      <c r="F153" s="39" t="str">
        <f>"C100048"</f>
        <v>C100048</v>
      </c>
      <c r="G153" s="40" t="str">
        <f>"USB MP3 Player"</f>
        <v>USB MP3 Player</v>
      </c>
      <c r="H153" s="41">
        <v>7.7</v>
      </c>
      <c r="I153" s="42">
        <v>338</v>
      </c>
      <c r="J153" s="43">
        <v>4091.9500000000003</v>
      </c>
      <c r="K153" s="43">
        <f>J153-(I153*H153)</f>
        <v>1489.3500000000004</v>
      </c>
      <c r="L153" s="44">
        <f>IF(J153=0,0,K153/J153)</f>
        <v>0.36397072300492439</v>
      </c>
      <c r="M153" s="45"/>
      <c r="N153" s="42">
        <v>360</v>
      </c>
      <c r="O153" s="43">
        <v>4416.5</v>
      </c>
      <c r="P153" s="43">
        <f t="shared" si="223"/>
        <v>1644.5</v>
      </c>
      <c r="Q153" s="44">
        <f t="shared" si="224"/>
        <v>0.37235367372353673</v>
      </c>
      <c r="S153" s="68">
        <f t="shared" si="225"/>
        <v>-22</v>
      </c>
      <c r="T153" s="46">
        <f t="shared" si="226"/>
        <v>-324.54999999999973</v>
      </c>
      <c r="U153" s="69">
        <f t="shared" si="227"/>
        <v>-155.14999999999964</v>
      </c>
      <c r="W153" s="70">
        <f t="shared" si="228"/>
        <v>-8.3829507186123364E-3</v>
      </c>
      <c r="X153" s="71">
        <f t="shared" si="222"/>
        <v>-8.3829507186123364E-3</v>
      </c>
    </row>
    <row r="154" spans="1:24" ht="20.25" customHeight="1" x14ac:dyDescent="0.35">
      <c r="A154" s="12" t="s">
        <v>26</v>
      </c>
      <c r="B154" s="12"/>
      <c r="C154" s="12" t="str">
        <f>C153</f>
        <v>MP3</v>
      </c>
      <c r="D154" s="31"/>
      <c r="E154" s="38"/>
      <c r="F154" s="39" t="str">
        <f>"C100049"</f>
        <v>C100049</v>
      </c>
      <c r="G154" s="40" t="str">
        <f>"4GB MP3 Player"</f>
        <v>4GB MP3 Player</v>
      </c>
      <c r="H154" s="41">
        <v>9.4</v>
      </c>
      <c r="I154" s="42">
        <v>438</v>
      </c>
      <c r="J154" s="43">
        <v>6568.9199999999992</v>
      </c>
      <c r="K154" s="43">
        <f>J154-(I154*H154)</f>
        <v>2451.7199999999993</v>
      </c>
      <c r="L154" s="44">
        <f>IF(J154=0,0,K154/J154)</f>
        <v>0.37323030269816038</v>
      </c>
      <c r="M154" s="45"/>
      <c r="N154" s="42">
        <v>360</v>
      </c>
      <c r="O154" s="43">
        <v>5556.4000000000005</v>
      </c>
      <c r="P154" s="43">
        <f t="shared" si="223"/>
        <v>2172.4000000000005</v>
      </c>
      <c r="Q154" s="44">
        <f t="shared" si="224"/>
        <v>0.39097257216903036</v>
      </c>
      <c r="S154" s="68">
        <f t="shared" si="225"/>
        <v>78</v>
      </c>
      <c r="T154" s="46">
        <f t="shared" si="226"/>
        <v>1012.5199999999986</v>
      </c>
      <c r="U154" s="69">
        <f t="shared" si="227"/>
        <v>279.3199999999988</v>
      </c>
      <c r="W154" s="70">
        <f t="shared" si="228"/>
        <v>-1.7742269470869987E-2</v>
      </c>
      <c r="X154" s="71">
        <f t="shared" si="222"/>
        <v>-1.7742269470869987E-2</v>
      </c>
    </row>
    <row r="155" spans="1:24" ht="20.25" customHeight="1" x14ac:dyDescent="0.35">
      <c r="A155" s="12" t="s">
        <v>26</v>
      </c>
      <c r="B155" s="12"/>
      <c r="C155" s="12" t="str">
        <f>C154</f>
        <v>MP3</v>
      </c>
      <c r="D155" s="31"/>
      <c r="E155" s="38"/>
      <c r="F155" s="39" t="str">
        <f>"C100050"</f>
        <v>C100050</v>
      </c>
      <c r="G155" s="40" t="str">
        <f>"Clip-on MP3 Player"</f>
        <v>Clip-on MP3 Player</v>
      </c>
      <c r="H155" s="41">
        <v>8.58</v>
      </c>
      <c r="I155" s="42">
        <v>1</v>
      </c>
      <c r="J155" s="43">
        <v>18.41</v>
      </c>
      <c r="K155" s="43">
        <f>J155-(I155*H155)</f>
        <v>9.83</v>
      </c>
      <c r="L155" s="44">
        <f>IF(J155=0,0,K155/J155)</f>
        <v>0.53394894079304722</v>
      </c>
      <c r="M155" s="45"/>
      <c r="N155" s="42">
        <v>505</v>
      </c>
      <c r="O155" s="43">
        <v>9190.8799999999992</v>
      </c>
      <c r="P155" s="43">
        <f t="shared" si="223"/>
        <v>4857.9799999999996</v>
      </c>
      <c r="Q155" s="44">
        <f t="shared" si="224"/>
        <v>0.52856527340145887</v>
      </c>
      <c r="S155" s="68">
        <f t="shared" si="225"/>
        <v>-504</v>
      </c>
      <c r="T155" s="46">
        <f t="shared" si="226"/>
        <v>-9172.4699999999993</v>
      </c>
      <c r="U155" s="69">
        <f t="shared" si="227"/>
        <v>-4848.1499999999996</v>
      </c>
      <c r="W155" s="70">
        <f t="shared" si="228"/>
        <v>5.3836673915883537E-3</v>
      </c>
      <c r="X155" s="71">
        <f t="shared" si="222"/>
        <v>5.3836673915883537E-3</v>
      </c>
    </row>
    <row r="156" spans="1:24" ht="17.25" customHeight="1" x14ac:dyDescent="0.3">
      <c r="A156" s="12" t="s">
        <v>26</v>
      </c>
      <c r="B156" s="12"/>
      <c r="C156" s="12" t="str">
        <f>C151</f>
        <v>MP3</v>
      </c>
      <c r="D156" s="31"/>
      <c r="E156" s="38"/>
      <c r="F156" s="31"/>
      <c r="G156" s="31"/>
      <c r="H156" s="31"/>
      <c r="I156" s="42"/>
      <c r="J156" s="47"/>
      <c r="K156" s="47"/>
      <c r="L156" s="48"/>
      <c r="M156" s="45"/>
      <c r="N156" s="42"/>
      <c r="O156" s="47"/>
      <c r="P156" s="47"/>
      <c r="Q156" s="48"/>
      <c r="S156" s="68"/>
      <c r="T156" s="46"/>
      <c r="U156" s="69"/>
      <c r="W156" s="70"/>
      <c r="X156" s="71">
        <f t="shared" si="222"/>
        <v>0</v>
      </c>
    </row>
    <row r="157" spans="1:24" s="49" customFormat="1" ht="20.25" customHeight="1" x14ac:dyDescent="0.35">
      <c r="A157" s="50" t="s">
        <v>26</v>
      </c>
      <c r="B157" s="12"/>
      <c r="C157" s="12" t="str">
        <f>C156</f>
        <v>MP3</v>
      </c>
      <c r="D157" s="31"/>
      <c r="E157" s="51"/>
      <c r="F157" s="52"/>
      <c r="G157" s="52"/>
      <c r="H157" s="53" t="str">
        <f>E150&amp;" Total"</f>
        <v>MP3 Total</v>
      </c>
      <c r="I157" s="54">
        <f>SUBTOTAL(9,I151:I156)</f>
        <v>1338</v>
      </c>
      <c r="J157" s="55">
        <f>SUBTOTAL(9,J151:J156)</f>
        <v>22235.26</v>
      </c>
      <c r="K157" s="55">
        <f>SUBTOTAL(9,K151:K156)</f>
        <v>8520.9</v>
      </c>
      <c r="L157" s="56">
        <f>IF(J157=0,0,K157/J157)</f>
        <v>0.38321566736795526</v>
      </c>
      <c r="M157" s="57"/>
      <c r="N157" s="54">
        <f>SUBTOTAL(9,N151:N156)</f>
        <v>1225</v>
      </c>
      <c r="O157" s="55">
        <f>SUBTOTAL(9,O151:O156)</f>
        <v>19163.78</v>
      </c>
      <c r="P157" s="55">
        <f t="shared" ref="P157" si="229">SUM(P151:P156)</f>
        <v>8674.880000000001</v>
      </c>
      <c r="Q157" s="56">
        <f t="shared" ref="Q157" si="230">IF(O157=0,0,P157/O157)</f>
        <v>0.45267061091287841</v>
      </c>
      <c r="R157" s="58"/>
      <c r="S157" s="72">
        <f t="shared" ref="S157:U157" si="231">SUBTOTAL(9,S151:S156)</f>
        <v>113</v>
      </c>
      <c r="T157" s="59">
        <f t="shared" si="231"/>
        <v>3071.4799999999996</v>
      </c>
      <c r="U157" s="73">
        <f t="shared" si="231"/>
        <v>-153.98000000000047</v>
      </c>
      <c r="V157" s="58"/>
      <c r="W157" s="74">
        <f t="shared" ref="W157" si="232">L157-Q157</f>
        <v>-6.9454943544923153E-2</v>
      </c>
      <c r="X157" s="71">
        <f t="shared" si="222"/>
        <v>-6.9454943544923153E-2</v>
      </c>
    </row>
    <row r="158" spans="1:24" s="49" customFormat="1" ht="20.25" customHeight="1" x14ac:dyDescent="0.35">
      <c r="A158" s="50" t="s">
        <v>26</v>
      </c>
      <c r="B158" s="12"/>
      <c r="C158" s="12" t="str">
        <f>C157</f>
        <v>MP3</v>
      </c>
      <c r="D158" s="31"/>
      <c r="E158" s="101"/>
      <c r="F158" s="102"/>
      <c r="G158" s="102"/>
      <c r="H158" s="103"/>
      <c r="I158" s="104"/>
      <c r="J158" s="105"/>
      <c r="K158" s="105"/>
      <c r="L158" s="106"/>
      <c r="M158" s="57"/>
      <c r="N158" s="104"/>
      <c r="O158" s="105"/>
      <c r="P158" s="105"/>
      <c r="Q158" s="106"/>
      <c r="R158" s="58"/>
      <c r="S158" s="107"/>
      <c r="T158" s="108"/>
      <c r="U158" s="109"/>
      <c r="V158" s="58"/>
      <c r="W158" s="110"/>
      <c r="X158" s="75"/>
    </row>
    <row r="159" spans="1:24" ht="20.25" customHeight="1" x14ac:dyDescent="0.35">
      <c r="A159" s="12" t="s">
        <v>26</v>
      </c>
      <c r="B159" s="12"/>
      <c r="C159" s="12" t="str">
        <f>E159</f>
        <v>MUG</v>
      </c>
      <c r="D159" s="31"/>
      <c r="E159" s="32" t="str">
        <f>"MUG"</f>
        <v>MUG</v>
      </c>
      <c r="F159" s="33"/>
      <c r="G159" s="33"/>
      <c r="H159" s="33"/>
      <c r="I159" s="34"/>
      <c r="J159" s="31"/>
      <c r="K159" s="31"/>
      <c r="L159" s="35"/>
      <c r="N159" s="36"/>
      <c r="O159" s="33"/>
      <c r="P159" s="33"/>
      <c r="Q159" s="37"/>
      <c r="S159" s="64"/>
      <c r="T159" s="65"/>
      <c r="U159" s="66"/>
      <c r="W159" s="67"/>
      <c r="X159" s="66"/>
    </row>
    <row r="160" spans="1:24" ht="20.25" customHeight="1" x14ac:dyDescent="0.35">
      <c r="A160" s="12" t="s">
        <v>26</v>
      </c>
      <c r="B160" s="12"/>
      <c r="C160" s="12" t="str">
        <f>C159</f>
        <v>MUG</v>
      </c>
      <c r="D160" s="31"/>
      <c r="E160" s="38"/>
      <c r="F160" s="39" t="str">
        <f>"C100061"</f>
        <v>C100061</v>
      </c>
      <c r="G160" s="40" t="str">
        <f>"Bistro Mug"</f>
        <v>Bistro Mug</v>
      </c>
      <c r="H160" s="41">
        <v>0.69</v>
      </c>
      <c r="I160" s="42">
        <v>675</v>
      </c>
      <c r="J160" s="43">
        <v>868.77</v>
      </c>
      <c r="K160" s="43">
        <f>J160-(I160*H160)</f>
        <v>403.02000000000004</v>
      </c>
      <c r="L160" s="44">
        <f>IF(J160=0,0,K160/J160)</f>
        <v>0.46389723402051181</v>
      </c>
      <c r="M160" s="45"/>
      <c r="N160" s="42">
        <v>630</v>
      </c>
      <c r="O160" s="43">
        <v>811.18000000000006</v>
      </c>
      <c r="P160" s="43">
        <f t="shared" ref="P160" si="233">O160-(N160*$H160)</f>
        <v>376.48000000000008</v>
      </c>
      <c r="Q160" s="44">
        <f t="shared" ref="Q160" si="234">IF(O160=0,0,P160/O160)</f>
        <v>0.46411400675559067</v>
      </c>
      <c r="S160" s="68">
        <f t="shared" ref="S160" si="235">I160-N160</f>
        <v>45</v>
      </c>
      <c r="T160" s="46">
        <f t="shared" ref="T160" si="236">J160-O160</f>
        <v>57.589999999999918</v>
      </c>
      <c r="U160" s="69">
        <f t="shared" ref="U160" si="237">K160-P160</f>
        <v>26.539999999999964</v>
      </c>
      <c r="W160" s="70">
        <f t="shared" ref="W160" si="238">L160-Q160</f>
        <v>-2.1677273507886285E-4</v>
      </c>
      <c r="X160" s="71">
        <f t="shared" ref="X160:X166" si="239">W160</f>
        <v>-2.1677273507886285E-4</v>
      </c>
    </row>
    <row r="161" spans="1:24" ht="20.25" customHeight="1" x14ac:dyDescent="0.35">
      <c r="A161" s="12" t="s">
        <v>26</v>
      </c>
      <c r="B161" s="12"/>
      <c r="C161" s="12" t="str">
        <f>C160</f>
        <v>MUG</v>
      </c>
      <c r="D161" s="31"/>
      <c r="E161" s="38"/>
      <c r="F161" s="39" t="str">
        <f>"C100062"</f>
        <v>C100062</v>
      </c>
      <c r="G161" s="40" t="str">
        <f>"Tall Matte Finish Mug"</f>
        <v>Tall Matte Finish Mug</v>
      </c>
      <c r="H161" s="41">
        <v>0.68</v>
      </c>
      <c r="I161" s="42">
        <v>288</v>
      </c>
      <c r="J161" s="43">
        <v>343.59</v>
      </c>
      <c r="K161" s="43">
        <f>J161-(I161*H161)</f>
        <v>147.74999999999997</v>
      </c>
      <c r="L161" s="44">
        <f>IF(J161=0,0,K161/J161)</f>
        <v>0.43001833580721205</v>
      </c>
      <c r="M161" s="45"/>
      <c r="N161" s="42">
        <v>432</v>
      </c>
      <c r="O161" s="43">
        <v>520.73</v>
      </c>
      <c r="P161" s="43">
        <f t="shared" ref="P161:P164" si="240">O161-(N161*$H161)</f>
        <v>226.96999999999997</v>
      </c>
      <c r="Q161" s="44">
        <f t="shared" ref="Q161:Q164" si="241">IF(O161=0,0,P161/O161)</f>
        <v>0.43586887638507471</v>
      </c>
      <c r="S161" s="68">
        <f t="shared" ref="S161:S164" si="242">I161-N161</f>
        <v>-144</v>
      </c>
      <c r="T161" s="46">
        <f t="shared" ref="T161:T164" si="243">J161-O161</f>
        <v>-177.14000000000004</v>
      </c>
      <c r="U161" s="69">
        <f t="shared" ref="U161:U164" si="244">K161-P161</f>
        <v>-79.22</v>
      </c>
      <c r="W161" s="70">
        <f t="shared" ref="W161:W164" si="245">L161-Q161</f>
        <v>-5.8505405778626618E-3</v>
      </c>
      <c r="X161" s="71">
        <f t="shared" si="239"/>
        <v>-5.8505405778626618E-3</v>
      </c>
    </row>
    <row r="162" spans="1:24" ht="20.25" customHeight="1" x14ac:dyDescent="0.35">
      <c r="A162" s="12" t="s">
        <v>26</v>
      </c>
      <c r="B162" s="12"/>
      <c r="C162" s="12" t="str">
        <f>C161</f>
        <v>MUG</v>
      </c>
      <c r="D162" s="31"/>
      <c r="E162" s="38"/>
      <c r="F162" s="39" t="str">
        <f>"C100063"</f>
        <v>C100063</v>
      </c>
      <c r="G162" s="40" t="str">
        <f>"Soup Mug"</f>
        <v>Soup Mug</v>
      </c>
      <c r="H162" s="41">
        <v>0.93</v>
      </c>
      <c r="I162" s="42">
        <v>264</v>
      </c>
      <c r="J162" s="43">
        <v>431.86</v>
      </c>
      <c r="K162" s="43">
        <f>J162-(I162*H162)</f>
        <v>186.34</v>
      </c>
      <c r="L162" s="44">
        <f>IF(J162=0,0,K162/J162)</f>
        <v>0.43148242485990829</v>
      </c>
      <c r="M162" s="45"/>
      <c r="N162" s="42">
        <v>378.99999999999994</v>
      </c>
      <c r="O162" s="43">
        <v>616.52</v>
      </c>
      <c r="P162" s="43">
        <f t="shared" si="240"/>
        <v>264.05</v>
      </c>
      <c r="Q162" s="44">
        <f t="shared" si="241"/>
        <v>0.42829105300720172</v>
      </c>
      <c r="S162" s="68">
        <f t="shared" si="242"/>
        <v>-114.99999999999994</v>
      </c>
      <c r="T162" s="46">
        <f t="shared" si="243"/>
        <v>-184.65999999999997</v>
      </c>
      <c r="U162" s="69">
        <f t="shared" si="244"/>
        <v>-77.710000000000008</v>
      </c>
      <c r="W162" s="70">
        <f t="shared" si="245"/>
        <v>3.1913718527065704E-3</v>
      </c>
      <c r="X162" s="71">
        <f t="shared" si="239"/>
        <v>3.1913718527065704E-3</v>
      </c>
    </row>
    <row r="163" spans="1:24" ht="20.25" customHeight="1" x14ac:dyDescent="0.35">
      <c r="A163" s="12" t="s">
        <v>26</v>
      </c>
      <c r="B163" s="12"/>
      <c r="C163" s="12" t="str">
        <f>C162</f>
        <v>MUG</v>
      </c>
      <c r="D163" s="31"/>
      <c r="E163" s="38"/>
      <c r="F163" s="39" t="str">
        <f>"E100039"</f>
        <v>E100039</v>
      </c>
      <c r="G163" s="40" t="str">
        <f>"Campfire Mug"</f>
        <v>Campfire Mug</v>
      </c>
      <c r="H163" s="41">
        <v>1.1200000000000001</v>
      </c>
      <c r="I163" s="42">
        <v>721</v>
      </c>
      <c r="J163" s="43">
        <v>1210.31</v>
      </c>
      <c r="K163" s="43">
        <f>J163-(I163*H163)</f>
        <v>402.78999999999985</v>
      </c>
      <c r="L163" s="44">
        <f>IF(J163=0,0,K163/J163)</f>
        <v>0.33279903495798585</v>
      </c>
      <c r="M163" s="45"/>
      <c r="N163" s="42">
        <v>433</v>
      </c>
      <c r="O163" s="43">
        <v>729.79</v>
      </c>
      <c r="P163" s="43">
        <f t="shared" si="240"/>
        <v>244.82999999999993</v>
      </c>
      <c r="Q163" s="44">
        <f t="shared" si="241"/>
        <v>0.33548006960906551</v>
      </c>
      <c r="S163" s="68">
        <f t="shared" si="242"/>
        <v>288</v>
      </c>
      <c r="T163" s="46">
        <f t="shared" si="243"/>
        <v>480.52</v>
      </c>
      <c r="U163" s="69">
        <f t="shared" si="244"/>
        <v>157.95999999999992</v>
      </c>
      <c r="W163" s="70">
        <f t="shared" si="245"/>
        <v>-2.6810346510796612E-3</v>
      </c>
      <c r="X163" s="71">
        <f t="shared" si="239"/>
        <v>-2.6810346510796612E-3</v>
      </c>
    </row>
    <row r="164" spans="1:24" ht="20.25" customHeight="1" x14ac:dyDescent="0.35">
      <c r="A164" s="12" t="s">
        <v>26</v>
      </c>
      <c r="B164" s="12"/>
      <c r="C164" s="12" t="str">
        <f>C163</f>
        <v>MUG</v>
      </c>
      <c r="D164" s="31"/>
      <c r="E164" s="38"/>
      <c r="F164" s="39" t="str">
        <f>"E100040"</f>
        <v>E100040</v>
      </c>
      <c r="G164" s="40" t="str">
        <f>"Wave Mug"</f>
        <v>Wave Mug</v>
      </c>
      <c r="H164" s="41">
        <v>1.1200000000000001</v>
      </c>
      <c r="I164" s="42">
        <v>864</v>
      </c>
      <c r="J164" s="43">
        <v>1423.67</v>
      </c>
      <c r="K164" s="43">
        <f>J164-(I164*H164)</f>
        <v>455.99</v>
      </c>
      <c r="L164" s="44">
        <f>IF(J164=0,0,K164/J164)</f>
        <v>0.32029192158295111</v>
      </c>
      <c r="M164" s="45"/>
      <c r="N164" s="42">
        <v>504</v>
      </c>
      <c r="O164" s="43">
        <v>833.09</v>
      </c>
      <c r="P164" s="43">
        <f t="shared" si="240"/>
        <v>268.61</v>
      </c>
      <c r="Q164" s="44">
        <f t="shared" si="241"/>
        <v>0.32242614843534312</v>
      </c>
      <c r="S164" s="68">
        <f t="shared" si="242"/>
        <v>360</v>
      </c>
      <c r="T164" s="46">
        <f t="shared" si="243"/>
        <v>590.58000000000004</v>
      </c>
      <c r="U164" s="69">
        <f t="shared" si="244"/>
        <v>187.38</v>
      </c>
      <c r="W164" s="70">
        <f t="shared" si="245"/>
        <v>-2.1342268523920072E-3</v>
      </c>
      <c r="X164" s="71">
        <f t="shared" si="239"/>
        <v>-2.1342268523920072E-3</v>
      </c>
    </row>
    <row r="165" spans="1:24" ht="17.25" customHeight="1" x14ac:dyDescent="0.3">
      <c r="A165" s="12" t="s">
        <v>26</v>
      </c>
      <c r="B165" s="12"/>
      <c r="C165" s="12" t="str">
        <f>C160</f>
        <v>MUG</v>
      </c>
      <c r="D165" s="31"/>
      <c r="E165" s="38"/>
      <c r="F165" s="31"/>
      <c r="G165" s="31"/>
      <c r="H165" s="31"/>
      <c r="I165" s="42"/>
      <c r="J165" s="47"/>
      <c r="K165" s="47"/>
      <c r="L165" s="48"/>
      <c r="M165" s="45"/>
      <c r="N165" s="42"/>
      <c r="O165" s="47"/>
      <c r="P165" s="47"/>
      <c r="Q165" s="48"/>
      <c r="S165" s="68"/>
      <c r="T165" s="46"/>
      <c r="U165" s="69"/>
      <c r="W165" s="70"/>
      <c r="X165" s="71">
        <f t="shared" si="239"/>
        <v>0</v>
      </c>
    </row>
    <row r="166" spans="1:24" s="49" customFormat="1" ht="20.25" customHeight="1" x14ac:dyDescent="0.35">
      <c r="A166" s="50" t="s">
        <v>26</v>
      </c>
      <c r="B166" s="12"/>
      <c r="C166" s="12" t="str">
        <f>C165</f>
        <v>MUG</v>
      </c>
      <c r="D166" s="31"/>
      <c r="E166" s="51"/>
      <c r="F166" s="52"/>
      <c r="G166" s="52"/>
      <c r="H166" s="53" t="str">
        <f>E159&amp;" Total"</f>
        <v>MUG Total</v>
      </c>
      <c r="I166" s="54">
        <f>SUBTOTAL(9,I160:I165)</f>
        <v>2812</v>
      </c>
      <c r="J166" s="55">
        <f>SUBTOTAL(9,J160:J165)</f>
        <v>4278.2</v>
      </c>
      <c r="K166" s="55">
        <f>SUBTOTAL(9,K160:K165)</f>
        <v>1595.8899999999999</v>
      </c>
      <c r="L166" s="56">
        <f>IF(J166=0,0,K166/J166)</f>
        <v>0.3730283764199897</v>
      </c>
      <c r="M166" s="57"/>
      <c r="N166" s="54">
        <f>SUBTOTAL(9,N160:N165)</f>
        <v>2378</v>
      </c>
      <c r="O166" s="55">
        <f>SUBTOTAL(9,O160:O165)</f>
        <v>3511.3100000000004</v>
      </c>
      <c r="P166" s="55">
        <f t="shared" ref="P166" si="246">SUM(P160:P165)</f>
        <v>1380.94</v>
      </c>
      <c r="Q166" s="56">
        <f t="shared" ref="Q166" si="247">IF(O166=0,0,P166/O166)</f>
        <v>0.39328341843927195</v>
      </c>
      <c r="R166" s="58"/>
      <c r="S166" s="72">
        <f t="shared" ref="S166:U166" si="248">SUBTOTAL(9,S160:S165)</f>
        <v>434.00000000000006</v>
      </c>
      <c r="T166" s="59">
        <f t="shared" si="248"/>
        <v>766.88999999999987</v>
      </c>
      <c r="U166" s="73">
        <f t="shared" si="248"/>
        <v>214.94999999999987</v>
      </c>
      <c r="V166" s="58"/>
      <c r="W166" s="74">
        <f t="shared" ref="W166" si="249">L166-Q166</f>
        <v>-2.0255042019282243E-2</v>
      </c>
      <c r="X166" s="71">
        <f t="shared" si="239"/>
        <v>-2.0255042019282243E-2</v>
      </c>
    </row>
    <row r="167" spans="1:24" s="49" customFormat="1" ht="20.25" customHeight="1" x14ac:dyDescent="0.35">
      <c r="A167" s="50" t="s">
        <v>26</v>
      </c>
      <c r="B167" s="12"/>
      <c r="C167" s="12" t="str">
        <f>C166</f>
        <v>MUG</v>
      </c>
      <c r="D167" s="31"/>
      <c r="E167" s="101"/>
      <c r="F167" s="102"/>
      <c r="G167" s="102"/>
      <c r="H167" s="103"/>
      <c r="I167" s="104"/>
      <c r="J167" s="105"/>
      <c r="K167" s="105"/>
      <c r="L167" s="106"/>
      <c r="M167" s="57"/>
      <c r="N167" s="104"/>
      <c r="O167" s="105"/>
      <c r="P167" s="105"/>
      <c r="Q167" s="106"/>
      <c r="R167" s="58"/>
      <c r="S167" s="107"/>
      <c r="T167" s="108"/>
      <c r="U167" s="109"/>
      <c r="V167" s="58"/>
      <c r="W167" s="110"/>
      <c r="X167" s="75"/>
    </row>
    <row r="168" spans="1:24" ht="20.25" customHeight="1" x14ac:dyDescent="0.35">
      <c r="A168" s="12" t="s">
        <v>26</v>
      </c>
      <c r="B168" s="12"/>
      <c r="C168" s="12" t="str">
        <f>E168</f>
        <v>PLASTICBAG</v>
      </c>
      <c r="D168" s="31"/>
      <c r="E168" s="32" t="str">
        <f>"PLASTICBAG"</f>
        <v>PLASTICBAG</v>
      </c>
      <c r="F168" s="33"/>
      <c r="G168" s="33"/>
      <c r="H168" s="33"/>
      <c r="I168" s="34"/>
      <c r="J168" s="31"/>
      <c r="K168" s="31"/>
      <c r="L168" s="35"/>
      <c r="N168" s="36"/>
      <c r="O168" s="33"/>
      <c r="P168" s="33"/>
      <c r="Q168" s="37"/>
      <c r="S168" s="64"/>
      <c r="T168" s="65"/>
      <c r="U168" s="66"/>
      <c r="W168" s="67"/>
      <c r="X168" s="66"/>
    </row>
    <row r="169" spans="1:24" ht="20.25" customHeight="1" x14ac:dyDescent="0.35">
      <c r="A169" s="12" t="s">
        <v>26</v>
      </c>
      <c r="B169" s="12"/>
      <c r="C169" s="12" t="str">
        <f>C168</f>
        <v>PLASTICBAG</v>
      </c>
      <c r="D169" s="31"/>
      <c r="E169" s="38"/>
      <c r="F169" s="39" t="str">
        <f>"E100006"</f>
        <v>E100006</v>
      </c>
      <c r="G169" s="40" t="str">
        <f>"Budget Tote Bag"</f>
        <v>Budget Tote Bag</v>
      </c>
      <c r="H169" s="41">
        <v>3.9699999999999999E-2</v>
      </c>
      <c r="I169" s="42">
        <v>1086</v>
      </c>
      <c r="J169" s="43">
        <v>95.03</v>
      </c>
      <c r="K169" s="43">
        <f>J169-(I169*H169)</f>
        <v>51.915800000000004</v>
      </c>
      <c r="L169" s="44">
        <f>IF(J169=0,0,K169/J169)</f>
        <v>0.54630958644638539</v>
      </c>
      <c r="M169" s="45"/>
      <c r="N169" s="42">
        <v>660</v>
      </c>
      <c r="O169" s="43">
        <v>58.300000000000004</v>
      </c>
      <c r="P169" s="43">
        <f t="shared" ref="P169" si="250">O169-(N169*$H169)</f>
        <v>32.098000000000006</v>
      </c>
      <c r="Q169" s="44">
        <f t="shared" ref="Q169" si="251">IF(O169=0,0,P169/O169)</f>
        <v>0.55056603773584911</v>
      </c>
      <c r="S169" s="68">
        <f t="shared" ref="S169" si="252">I169-N169</f>
        <v>426</v>
      </c>
      <c r="T169" s="46">
        <f t="shared" ref="T169" si="253">J169-O169</f>
        <v>36.729999999999997</v>
      </c>
      <c r="U169" s="69">
        <f t="shared" ref="U169" si="254">K169-P169</f>
        <v>19.817799999999998</v>
      </c>
      <c r="W169" s="70">
        <f t="shared" ref="W169" si="255">L169-Q169</f>
        <v>-4.2564512894637252E-3</v>
      </c>
      <c r="X169" s="71">
        <f t="shared" ref="X169:X175" si="256">W169</f>
        <v>-4.2564512894637252E-3</v>
      </c>
    </row>
    <row r="170" spans="1:24" ht="20.25" customHeight="1" x14ac:dyDescent="0.35">
      <c r="A170" s="12" t="s">
        <v>26</v>
      </c>
      <c r="B170" s="12"/>
      <c r="C170" s="12" t="str">
        <f>C169</f>
        <v>PLASTICBAG</v>
      </c>
      <c r="D170" s="31"/>
      <c r="E170" s="38"/>
      <c r="F170" s="39" t="str">
        <f>"E100007"</f>
        <v>E100007</v>
      </c>
      <c r="G170" s="40" t="str">
        <f>"Plastic Handle Bag"</f>
        <v>Plastic Handle Bag</v>
      </c>
      <c r="H170" s="41">
        <v>0.18010000000000001</v>
      </c>
      <c r="I170" s="42">
        <v>1360</v>
      </c>
      <c r="J170" s="43">
        <v>434.58000000000004</v>
      </c>
      <c r="K170" s="43">
        <f>J170-(I170*H170)</f>
        <v>189.64400000000003</v>
      </c>
      <c r="L170" s="44">
        <f>IF(J170=0,0,K170/J170)</f>
        <v>0.43638455520272451</v>
      </c>
      <c r="M170" s="45"/>
      <c r="N170" s="42">
        <v>728</v>
      </c>
      <c r="O170" s="43">
        <v>234.97</v>
      </c>
      <c r="P170" s="43">
        <f t="shared" ref="P170:P173" si="257">O170-(N170*$H170)</f>
        <v>103.85719999999998</v>
      </c>
      <c r="Q170" s="44">
        <f t="shared" ref="Q170:Q173" si="258">IF(O170=0,0,P170/O170)</f>
        <v>0.44200195769672712</v>
      </c>
      <c r="S170" s="68">
        <f t="shared" ref="S170:S173" si="259">I170-N170</f>
        <v>632</v>
      </c>
      <c r="T170" s="46">
        <f t="shared" ref="T170:T173" si="260">J170-O170</f>
        <v>199.61000000000004</v>
      </c>
      <c r="U170" s="69">
        <f t="shared" ref="U170:U173" si="261">K170-P170</f>
        <v>85.786800000000056</v>
      </c>
      <c r="W170" s="70">
        <f t="shared" ref="W170:W173" si="262">L170-Q170</f>
        <v>-5.6174024940026102E-3</v>
      </c>
      <c r="X170" s="71">
        <f t="shared" si="256"/>
        <v>-5.6174024940026102E-3</v>
      </c>
    </row>
    <row r="171" spans="1:24" ht="20.25" customHeight="1" x14ac:dyDescent="0.35">
      <c r="A171" s="12" t="s">
        <v>26</v>
      </c>
      <c r="B171" s="12"/>
      <c r="C171" s="12" t="str">
        <f>C170</f>
        <v>PLASTICBAG</v>
      </c>
      <c r="D171" s="31"/>
      <c r="E171" s="38"/>
      <c r="F171" s="39" t="str">
        <f>"E100008"</f>
        <v>E100008</v>
      </c>
      <c r="G171" s="40" t="str">
        <f>"Super Shopper"</f>
        <v>Super Shopper</v>
      </c>
      <c r="H171" s="41">
        <v>0.1198</v>
      </c>
      <c r="I171" s="42">
        <v>488</v>
      </c>
      <c r="J171" s="43">
        <v>108.58999999999999</v>
      </c>
      <c r="K171" s="43">
        <f>J171-(I171*H171)</f>
        <v>50.127599999999987</v>
      </c>
      <c r="L171" s="44">
        <f>IF(J171=0,0,K171/J171)</f>
        <v>0.46162261718390268</v>
      </c>
      <c r="M171" s="45"/>
      <c r="N171" s="42">
        <v>607</v>
      </c>
      <c r="O171" s="43">
        <v>136.21</v>
      </c>
      <c r="P171" s="43">
        <f t="shared" si="257"/>
        <v>63.491399999999999</v>
      </c>
      <c r="Q171" s="44">
        <f t="shared" si="258"/>
        <v>0.4661287717495044</v>
      </c>
      <c r="S171" s="68">
        <f t="shared" si="259"/>
        <v>-119</v>
      </c>
      <c r="T171" s="46">
        <f t="shared" si="260"/>
        <v>-27.620000000000019</v>
      </c>
      <c r="U171" s="69">
        <f t="shared" si="261"/>
        <v>-13.363800000000012</v>
      </c>
      <c r="W171" s="70">
        <f t="shared" si="262"/>
        <v>-4.5061545656017166E-3</v>
      </c>
      <c r="X171" s="71">
        <f t="shared" si="256"/>
        <v>-4.5061545656017166E-3</v>
      </c>
    </row>
    <row r="172" spans="1:24" ht="20.25" customHeight="1" x14ac:dyDescent="0.35">
      <c r="A172" s="12" t="s">
        <v>26</v>
      </c>
      <c r="B172" s="12"/>
      <c r="C172" s="12" t="str">
        <f>C171</f>
        <v>PLASTICBAG</v>
      </c>
      <c r="D172" s="31"/>
      <c r="E172" s="38"/>
      <c r="F172" s="39" t="str">
        <f>"E100009"</f>
        <v>E100009</v>
      </c>
      <c r="G172" s="40" t="str">
        <f>"Die-Cut Tote"</f>
        <v>Die-Cut Tote</v>
      </c>
      <c r="H172" s="41">
        <v>0.11</v>
      </c>
      <c r="I172" s="42">
        <v>921.00000000000011</v>
      </c>
      <c r="J172" s="43">
        <v>205.98</v>
      </c>
      <c r="K172" s="43">
        <f>J172-(I172*H172)</f>
        <v>104.66999999999997</v>
      </c>
      <c r="L172" s="44">
        <f>IF(J172=0,0,K172/J172)</f>
        <v>0.50815613166326823</v>
      </c>
      <c r="M172" s="45"/>
      <c r="N172" s="42">
        <v>882</v>
      </c>
      <c r="O172" s="43">
        <v>198.84</v>
      </c>
      <c r="P172" s="43">
        <f t="shared" si="257"/>
        <v>101.82000000000001</v>
      </c>
      <c r="Q172" s="44">
        <f t="shared" si="258"/>
        <v>0.51207000603500308</v>
      </c>
      <c r="S172" s="68">
        <f t="shared" si="259"/>
        <v>39.000000000000114</v>
      </c>
      <c r="T172" s="46">
        <f t="shared" si="260"/>
        <v>7.1399999999999864</v>
      </c>
      <c r="U172" s="69">
        <f t="shared" si="261"/>
        <v>2.8499999999999659</v>
      </c>
      <c r="W172" s="70">
        <f t="shared" si="262"/>
        <v>-3.913874371734849E-3</v>
      </c>
      <c r="X172" s="71">
        <f t="shared" si="256"/>
        <v>-3.913874371734849E-3</v>
      </c>
    </row>
    <row r="173" spans="1:24" ht="20.25" customHeight="1" x14ac:dyDescent="0.35">
      <c r="A173" s="12" t="s">
        <v>26</v>
      </c>
      <c r="B173" s="12"/>
      <c r="C173" s="12" t="str">
        <f>C172</f>
        <v>PLASTICBAG</v>
      </c>
      <c r="D173" s="31"/>
      <c r="E173" s="38"/>
      <c r="F173" s="39" t="str">
        <f>"E100010"</f>
        <v>E100010</v>
      </c>
      <c r="G173" s="40" t="str">
        <f>"Vinyl Tote"</f>
        <v>Vinyl Tote</v>
      </c>
      <c r="H173" s="41">
        <v>0.18010000000000001</v>
      </c>
      <c r="I173" s="42">
        <v>1177</v>
      </c>
      <c r="J173" s="43">
        <v>350.86</v>
      </c>
      <c r="K173" s="43">
        <f>J173-(I173*H173)</f>
        <v>138.88230000000001</v>
      </c>
      <c r="L173" s="44">
        <f>IF(J173=0,0,K173/J173)</f>
        <v>0.39583395086359235</v>
      </c>
      <c r="M173" s="45"/>
      <c r="N173" s="42">
        <v>785</v>
      </c>
      <c r="O173" s="43">
        <v>237.61</v>
      </c>
      <c r="P173" s="43">
        <f t="shared" si="257"/>
        <v>96.231500000000011</v>
      </c>
      <c r="Q173" s="44">
        <f t="shared" si="258"/>
        <v>0.40499768528260599</v>
      </c>
      <c r="S173" s="68">
        <f t="shared" si="259"/>
        <v>392</v>
      </c>
      <c r="T173" s="46">
        <f t="shared" si="260"/>
        <v>113.25</v>
      </c>
      <c r="U173" s="69">
        <f t="shared" si="261"/>
        <v>42.650800000000004</v>
      </c>
      <c r="W173" s="70">
        <f t="shared" si="262"/>
        <v>-9.1637344190136361E-3</v>
      </c>
      <c r="X173" s="71">
        <f t="shared" si="256"/>
        <v>-9.1637344190136361E-3</v>
      </c>
    </row>
    <row r="174" spans="1:24" ht="17.25" customHeight="1" x14ac:dyDescent="0.3">
      <c r="A174" s="12" t="s">
        <v>26</v>
      </c>
      <c r="B174" s="12"/>
      <c r="C174" s="12" t="str">
        <f>C169</f>
        <v>PLASTICBAG</v>
      </c>
      <c r="D174" s="31"/>
      <c r="E174" s="38"/>
      <c r="F174" s="31"/>
      <c r="G174" s="31"/>
      <c r="H174" s="31"/>
      <c r="I174" s="42"/>
      <c r="J174" s="47"/>
      <c r="K174" s="47"/>
      <c r="L174" s="48"/>
      <c r="M174" s="45"/>
      <c r="N174" s="42"/>
      <c r="O174" s="47"/>
      <c r="P174" s="47"/>
      <c r="Q174" s="48"/>
      <c r="S174" s="68"/>
      <c r="T174" s="46"/>
      <c r="U174" s="69"/>
      <c r="W174" s="70"/>
      <c r="X174" s="71">
        <f t="shared" si="256"/>
        <v>0</v>
      </c>
    </row>
    <row r="175" spans="1:24" s="49" customFormat="1" ht="20.25" customHeight="1" x14ac:dyDescent="0.35">
      <c r="A175" s="50" t="s">
        <v>26</v>
      </c>
      <c r="B175" s="12"/>
      <c r="C175" s="12" t="str">
        <f>C174</f>
        <v>PLASTICBAG</v>
      </c>
      <c r="D175" s="31"/>
      <c r="E175" s="51"/>
      <c r="F175" s="52"/>
      <c r="G175" s="52"/>
      <c r="H175" s="53" t="str">
        <f>E168&amp;" Total"</f>
        <v>PLASTICBAG Total</v>
      </c>
      <c r="I175" s="54">
        <f>SUBTOTAL(9,I169:I174)</f>
        <v>5032</v>
      </c>
      <c r="J175" s="55">
        <f>SUBTOTAL(9,J169:J174)</f>
        <v>1195.04</v>
      </c>
      <c r="K175" s="55">
        <f>SUBTOTAL(9,K169:K174)</f>
        <v>535.23969999999997</v>
      </c>
      <c r="L175" s="56">
        <f>IF(J175=0,0,K175/J175)</f>
        <v>0.4478843385995448</v>
      </c>
      <c r="M175" s="57"/>
      <c r="N175" s="54">
        <f>SUBTOTAL(9,N169:N174)</f>
        <v>3662</v>
      </c>
      <c r="O175" s="55">
        <f>SUBTOTAL(9,O169:O174)</f>
        <v>865.93000000000006</v>
      </c>
      <c r="P175" s="55">
        <f t="shared" ref="P175" si="263">SUM(P169:P174)</f>
        <v>397.49810000000002</v>
      </c>
      <c r="Q175" s="56">
        <f t="shared" ref="Q175" si="264">IF(O175=0,0,P175/O175)</f>
        <v>0.45904183940965204</v>
      </c>
      <c r="R175" s="58"/>
      <c r="S175" s="72">
        <f t="shared" ref="S175:U175" si="265">SUBTOTAL(9,S169:S174)</f>
        <v>1370</v>
      </c>
      <c r="T175" s="59">
        <f t="shared" si="265"/>
        <v>329.11</v>
      </c>
      <c r="U175" s="73">
        <f t="shared" si="265"/>
        <v>137.74160000000001</v>
      </c>
      <c r="V175" s="58"/>
      <c r="W175" s="74">
        <f t="shared" ref="W175" si="266">L175-Q175</f>
        <v>-1.1157500810107246E-2</v>
      </c>
      <c r="X175" s="71">
        <f t="shared" si="256"/>
        <v>-1.1157500810107246E-2</v>
      </c>
    </row>
    <row r="176" spans="1:24" s="49" customFormat="1" ht="20.25" customHeight="1" x14ac:dyDescent="0.35">
      <c r="A176" s="50" t="s">
        <v>26</v>
      </c>
      <c r="B176" s="12"/>
      <c r="C176" s="12" t="str">
        <f>C175</f>
        <v>PLASTICBAG</v>
      </c>
      <c r="D176" s="31"/>
      <c r="E176" s="101"/>
      <c r="F176" s="102"/>
      <c r="G176" s="102"/>
      <c r="H176" s="103"/>
      <c r="I176" s="104"/>
      <c r="J176" s="105"/>
      <c r="K176" s="105"/>
      <c r="L176" s="106"/>
      <c r="M176" s="57"/>
      <c r="N176" s="104"/>
      <c r="O176" s="105"/>
      <c r="P176" s="105"/>
      <c r="Q176" s="106"/>
      <c r="R176" s="58"/>
      <c r="S176" s="107"/>
      <c r="T176" s="108"/>
      <c r="U176" s="109"/>
      <c r="V176" s="58"/>
      <c r="W176" s="110"/>
      <c r="X176" s="75"/>
    </row>
    <row r="177" spans="1:24" ht="20.25" customHeight="1" x14ac:dyDescent="0.35">
      <c r="A177" s="12" t="s">
        <v>26</v>
      </c>
      <c r="B177" s="12"/>
      <c r="C177" s="12" t="str">
        <f>E177</f>
        <v>SPEAKER</v>
      </c>
      <c r="D177" s="31"/>
      <c r="E177" s="32" t="str">
        <f>"SPEAKER"</f>
        <v>SPEAKER</v>
      </c>
      <c r="F177" s="33"/>
      <c r="G177" s="33"/>
      <c r="H177" s="33"/>
      <c r="I177" s="34"/>
      <c r="J177" s="31"/>
      <c r="K177" s="31"/>
      <c r="L177" s="35"/>
      <c r="N177" s="36"/>
      <c r="O177" s="33"/>
      <c r="P177" s="33"/>
      <c r="Q177" s="37"/>
      <c r="S177" s="64"/>
      <c r="T177" s="65"/>
      <c r="U177" s="66"/>
      <c r="W177" s="67"/>
      <c r="X177" s="66"/>
    </row>
    <row r="178" spans="1:24" ht="20.25" customHeight="1" x14ac:dyDescent="0.35">
      <c r="A178" s="12" t="s">
        <v>26</v>
      </c>
      <c r="B178" s="12"/>
      <c r="C178" s="12" t="str">
        <f>C177</f>
        <v>SPEAKER</v>
      </c>
      <c r="D178" s="31"/>
      <c r="E178" s="38"/>
      <c r="F178" s="39" t="str">
        <f>"C100038"</f>
        <v>C100038</v>
      </c>
      <c r="G178" s="40" t="str">
        <f>"Foldable Travel Speakers"</f>
        <v>Foldable Travel Speakers</v>
      </c>
      <c r="H178" s="41">
        <v>3.19</v>
      </c>
      <c r="I178" s="42">
        <v>470</v>
      </c>
      <c r="J178" s="43">
        <v>2165.46</v>
      </c>
      <c r="K178" s="43">
        <f>J178-(I178*H178)</f>
        <v>666.16000000000008</v>
      </c>
      <c r="L178" s="44">
        <f>IF(J178=0,0,K178/J178)</f>
        <v>0.3076297876663619</v>
      </c>
      <c r="M178" s="45"/>
      <c r="N178" s="42">
        <v>314</v>
      </c>
      <c r="O178" s="43">
        <v>1454.31</v>
      </c>
      <c r="P178" s="43">
        <f t="shared" ref="P178" si="267">O178-(N178*$H178)</f>
        <v>452.65</v>
      </c>
      <c r="Q178" s="44">
        <f t="shared" ref="Q178" si="268">IF(O178=0,0,P178/O178)</f>
        <v>0.311247258149913</v>
      </c>
      <c r="S178" s="68">
        <f t="shared" ref="S178" si="269">I178-N178</f>
        <v>156</v>
      </c>
      <c r="T178" s="46">
        <f t="shared" ref="T178" si="270">J178-O178</f>
        <v>711.15000000000009</v>
      </c>
      <c r="U178" s="69">
        <f t="shared" ref="U178" si="271">K178-P178</f>
        <v>213.5100000000001</v>
      </c>
      <c r="W178" s="70">
        <f t="shared" ref="W178" si="272">L178-Q178</f>
        <v>-3.6174704835510996E-3</v>
      </c>
      <c r="X178" s="71">
        <f t="shared" ref="X178:X183" si="273">W178</f>
        <v>-3.6174704835510996E-3</v>
      </c>
    </row>
    <row r="179" spans="1:24" ht="20.25" customHeight="1" x14ac:dyDescent="0.35">
      <c r="A179" s="12" t="s">
        <v>26</v>
      </c>
      <c r="B179" s="12"/>
      <c r="C179" s="12" t="str">
        <f>C178</f>
        <v>SPEAKER</v>
      </c>
      <c r="D179" s="31"/>
      <c r="E179" s="38"/>
      <c r="F179" s="39" t="str">
        <f>"C100039"</f>
        <v>C100039</v>
      </c>
      <c r="G179" s="40" t="str">
        <f>"Portable Speaker &amp; MP3 Dock"</f>
        <v>Portable Speaker &amp; MP3 Dock</v>
      </c>
      <c r="H179" s="41">
        <v>8.4</v>
      </c>
      <c r="I179" s="42">
        <v>201</v>
      </c>
      <c r="J179" s="43">
        <v>2855.76</v>
      </c>
      <c r="K179" s="43">
        <f>J179-(I179*H179)</f>
        <v>1167.3600000000001</v>
      </c>
      <c r="L179" s="44">
        <f>IF(J179=0,0,K179/J179)</f>
        <v>0.40877384654172622</v>
      </c>
      <c r="M179" s="45"/>
      <c r="N179" s="42">
        <v>13</v>
      </c>
      <c r="O179" s="43">
        <v>189.29000000000002</v>
      </c>
      <c r="P179" s="43">
        <f t="shared" ref="P179:P181" si="274">O179-(N179*$H179)</f>
        <v>80.090000000000018</v>
      </c>
      <c r="Q179" s="44">
        <f t="shared" ref="Q179:Q181" si="275">IF(O179=0,0,P179/O179)</f>
        <v>0.42310740134185648</v>
      </c>
      <c r="S179" s="68">
        <f t="shared" ref="S179:S181" si="276">I179-N179</f>
        <v>188</v>
      </c>
      <c r="T179" s="46">
        <f t="shared" ref="T179:T181" si="277">J179-O179</f>
        <v>2666.4700000000003</v>
      </c>
      <c r="U179" s="69">
        <f t="shared" ref="U179:U181" si="278">K179-P179</f>
        <v>1087.2700000000002</v>
      </c>
      <c r="W179" s="70">
        <f t="shared" ref="W179:W181" si="279">L179-Q179</f>
        <v>-1.4333554800130266E-2</v>
      </c>
      <c r="X179" s="71">
        <f t="shared" si="273"/>
        <v>-1.4333554800130266E-2</v>
      </c>
    </row>
    <row r="180" spans="1:24" ht="20.25" customHeight="1" x14ac:dyDescent="0.35">
      <c r="A180" s="12" t="s">
        <v>26</v>
      </c>
      <c r="B180" s="12"/>
      <c r="C180" s="12" t="str">
        <f>C179</f>
        <v>SPEAKER</v>
      </c>
      <c r="D180" s="31"/>
      <c r="E180" s="38"/>
      <c r="F180" s="39" t="str">
        <f>"C100040"</f>
        <v>C100040</v>
      </c>
      <c r="G180" s="40" t="str">
        <f>"Channel Speaker System"</f>
        <v>Channel Speaker System</v>
      </c>
      <c r="H180" s="41">
        <v>20.77</v>
      </c>
      <c r="I180" s="42">
        <v>601</v>
      </c>
      <c r="J180" s="43">
        <v>24552.04</v>
      </c>
      <c r="K180" s="43">
        <f>J180-(I180*H180)</f>
        <v>12069.27</v>
      </c>
      <c r="L180" s="44">
        <f>IF(J180=0,0,K180/J180)</f>
        <v>0.49157911114514313</v>
      </c>
      <c r="M180" s="45"/>
      <c r="N180" s="42">
        <v>60</v>
      </c>
      <c r="O180" s="43">
        <v>2459.69</v>
      </c>
      <c r="P180" s="43">
        <f t="shared" si="274"/>
        <v>1213.49</v>
      </c>
      <c r="Q180" s="44">
        <f t="shared" si="275"/>
        <v>0.49335078810744443</v>
      </c>
      <c r="S180" s="68">
        <f t="shared" si="276"/>
        <v>541</v>
      </c>
      <c r="T180" s="46">
        <f t="shared" si="277"/>
        <v>22092.350000000002</v>
      </c>
      <c r="U180" s="69">
        <f t="shared" si="278"/>
        <v>10855.78</v>
      </c>
      <c r="W180" s="70">
        <f t="shared" si="279"/>
        <v>-1.771676962301294E-3</v>
      </c>
      <c r="X180" s="71">
        <f t="shared" si="273"/>
        <v>-1.771676962301294E-3</v>
      </c>
    </row>
    <row r="181" spans="1:24" ht="20.25" customHeight="1" x14ac:dyDescent="0.35">
      <c r="A181" s="12" t="s">
        <v>26</v>
      </c>
      <c r="B181" s="12"/>
      <c r="C181" s="12" t="str">
        <f>C180</f>
        <v>SPEAKER</v>
      </c>
      <c r="D181" s="31"/>
      <c r="E181" s="38"/>
      <c r="F181" s="39" t="str">
        <f>"C100041"</f>
        <v>C100041</v>
      </c>
      <c r="G181" s="40" t="str">
        <f>"Folding Stereo Speakers"</f>
        <v>Folding Stereo Speakers</v>
      </c>
      <c r="H181" s="41">
        <v>8.3699999999999992</v>
      </c>
      <c r="I181" s="42">
        <v>367</v>
      </c>
      <c r="J181" s="43">
        <v>5419.01</v>
      </c>
      <c r="K181" s="43">
        <f>J181-(I181*H181)</f>
        <v>2347.2200000000007</v>
      </c>
      <c r="L181" s="44">
        <f>IF(J181=0,0,K181/J181)</f>
        <v>0.43314553765355673</v>
      </c>
      <c r="M181" s="45"/>
      <c r="N181" s="42">
        <v>157</v>
      </c>
      <c r="O181" s="43">
        <v>2373.1799999999998</v>
      </c>
      <c r="P181" s="43">
        <f t="shared" si="274"/>
        <v>1059.0899999999999</v>
      </c>
      <c r="Q181" s="44">
        <f t="shared" si="275"/>
        <v>0.44627461886582559</v>
      </c>
      <c r="S181" s="68">
        <f t="shared" si="276"/>
        <v>210</v>
      </c>
      <c r="T181" s="46">
        <f t="shared" si="277"/>
        <v>3045.8300000000004</v>
      </c>
      <c r="U181" s="69">
        <f t="shared" si="278"/>
        <v>1288.1300000000008</v>
      </c>
      <c r="W181" s="70">
        <f t="shared" si="279"/>
        <v>-1.3129081212268856E-2</v>
      </c>
      <c r="X181" s="71">
        <f t="shared" si="273"/>
        <v>-1.3129081212268856E-2</v>
      </c>
    </row>
    <row r="182" spans="1:24" ht="17.25" customHeight="1" x14ac:dyDescent="0.3">
      <c r="A182" s="12" t="s">
        <v>26</v>
      </c>
      <c r="B182" s="12"/>
      <c r="C182" s="12" t="str">
        <f>C178</f>
        <v>SPEAKER</v>
      </c>
      <c r="D182" s="31"/>
      <c r="E182" s="38"/>
      <c r="F182" s="31"/>
      <c r="G182" s="31"/>
      <c r="H182" s="31"/>
      <c r="I182" s="42"/>
      <c r="J182" s="47"/>
      <c r="K182" s="47"/>
      <c r="L182" s="48"/>
      <c r="M182" s="45"/>
      <c r="N182" s="42"/>
      <c r="O182" s="47"/>
      <c r="P182" s="47"/>
      <c r="Q182" s="48"/>
      <c r="S182" s="68"/>
      <c r="T182" s="46"/>
      <c r="U182" s="69"/>
      <c r="W182" s="70"/>
      <c r="X182" s="71">
        <f t="shared" si="273"/>
        <v>0</v>
      </c>
    </row>
    <row r="183" spans="1:24" s="49" customFormat="1" ht="20.25" customHeight="1" x14ac:dyDescent="0.35">
      <c r="A183" s="50" t="s">
        <v>26</v>
      </c>
      <c r="B183" s="12"/>
      <c r="C183" s="12" t="str">
        <f>C182</f>
        <v>SPEAKER</v>
      </c>
      <c r="D183" s="31"/>
      <c r="E183" s="51"/>
      <c r="F183" s="52"/>
      <c r="G183" s="52"/>
      <c r="H183" s="53" t="str">
        <f>E177&amp;" Total"</f>
        <v>SPEAKER Total</v>
      </c>
      <c r="I183" s="54">
        <f>SUBTOTAL(9,I178:I182)</f>
        <v>1639</v>
      </c>
      <c r="J183" s="55">
        <f>SUBTOTAL(9,J178:J182)</f>
        <v>34992.270000000004</v>
      </c>
      <c r="K183" s="55">
        <f>SUBTOTAL(9,K178:K182)</f>
        <v>16250.010000000002</v>
      </c>
      <c r="L183" s="56">
        <f>IF(J183=0,0,K183/J183)</f>
        <v>0.46438856353131708</v>
      </c>
      <c r="M183" s="57"/>
      <c r="N183" s="54">
        <f>SUBTOTAL(9,N178:N182)</f>
        <v>544</v>
      </c>
      <c r="O183" s="55">
        <f>SUBTOTAL(9,O178:O182)</f>
        <v>6476.4699999999993</v>
      </c>
      <c r="P183" s="55">
        <f t="shared" ref="P183" si="280">SUM(P178:P182)</f>
        <v>2805.3199999999997</v>
      </c>
      <c r="Q183" s="56">
        <f t="shared" ref="Q183" si="281">IF(O183=0,0,P183/O183)</f>
        <v>0.43315571599961089</v>
      </c>
      <c r="R183" s="58"/>
      <c r="S183" s="72">
        <f t="shared" ref="S183:U183" si="282">SUBTOTAL(9,S178:S182)</f>
        <v>1095</v>
      </c>
      <c r="T183" s="59">
        <f t="shared" si="282"/>
        <v>28515.800000000003</v>
      </c>
      <c r="U183" s="73">
        <f t="shared" si="282"/>
        <v>13444.690000000002</v>
      </c>
      <c r="V183" s="58"/>
      <c r="W183" s="74">
        <f t="shared" ref="W183" si="283">L183-Q183</f>
        <v>3.1232847531706187E-2</v>
      </c>
      <c r="X183" s="71">
        <f t="shared" si="273"/>
        <v>3.1232847531706187E-2</v>
      </c>
    </row>
    <row r="184" spans="1:24" s="49" customFormat="1" ht="20.25" customHeight="1" x14ac:dyDescent="0.35">
      <c r="A184" s="50" t="s">
        <v>26</v>
      </c>
      <c r="B184" s="12"/>
      <c r="C184" s="12" t="str">
        <f>C183</f>
        <v>SPEAKER</v>
      </c>
      <c r="D184" s="31"/>
      <c r="E184" s="101"/>
      <c r="F184" s="102"/>
      <c r="G184" s="102"/>
      <c r="H184" s="103"/>
      <c r="I184" s="104"/>
      <c r="J184" s="105"/>
      <c r="K184" s="105"/>
      <c r="L184" s="106"/>
      <c r="M184" s="57"/>
      <c r="N184" s="104"/>
      <c r="O184" s="105"/>
      <c r="P184" s="105"/>
      <c r="Q184" s="106"/>
      <c r="R184" s="58"/>
      <c r="S184" s="107"/>
      <c r="T184" s="108"/>
      <c r="U184" s="109"/>
      <c r="V184" s="58"/>
      <c r="W184" s="110"/>
      <c r="X184" s="75"/>
    </row>
    <row r="185" spans="1:24" ht="20.25" customHeight="1" x14ac:dyDescent="0.35">
      <c r="A185" s="12" t="s">
        <v>26</v>
      </c>
      <c r="B185" s="12"/>
      <c r="C185" s="12" t="str">
        <f>E185</f>
        <v>SPORT BOT</v>
      </c>
      <c r="D185" s="31"/>
      <c r="E185" s="32" t="str">
        <f>"SPORT BOT"</f>
        <v>SPORT BOT</v>
      </c>
      <c r="F185" s="33"/>
      <c r="G185" s="33"/>
      <c r="H185" s="33"/>
      <c r="I185" s="34"/>
      <c r="J185" s="31"/>
      <c r="K185" s="31"/>
      <c r="L185" s="35"/>
      <c r="N185" s="36"/>
      <c r="O185" s="33"/>
      <c r="P185" s="33"/>
      <c r="Q185" s="37"/>
      <c r="S185" s="64"/>
      <c r="T185" s="65"/>
      <c r="U185" s="66"/>
      <c r="W185" s="67"/>
      <c r="X185" s="66"/>
    </row>
    <row r="186" spans="1:24" ht="20.25" customHeight="1" x14ac:dyDescent="0.35">
      <c r="A186" s="12" t="s">
        <v>26</v>
      </c>
      <c r="B186" s="12"/>
      <c r="C186" s="12" t="str">
        <f>C185</f>
        <v>SPORT BOT</v>
      </c>
      <c r="D186" s="31"/>
      <c r="E186" s="38"/>
      <c r="F186" s="39" t="str">
        <f>"E100041"</f>
        <v>E100041</v>
      </c>
      <c r="G186" s="40" t="str">
        <f>"Biodegradable Colored SPORT BOT"</f>
        <v>Biodegradable Colored SPORT BOT</v>
      </c>
      <c r="H186" s="41">
        <v>0.43</v>
      </c>
      <c r="I186" s="42">
        <v>1154</v>
      </c>
      <c r="J186" s="43">
        <v>775.19999999999993</v>
      </c>
      <c r="K186" s="43">
        <f>J186-(I186*H186)</f>
        <v>278.97999999999996</v>
      </c>
      <c r="L186" s="44">
        <f>IF(J186=0,0,K186/J186)</f>
        <v>0.35988132094943237</v>
      </c>
      <c r="M186" s="45"/>
      <c r="N186" s="42">
        <v>1008</v>
      </c>
      <c r="O186" s="43">
        <v>681.42</v>
      </c>
      <c r="P186" s="43">
        <f t="shared" ref="P186" si="284">O186-(N186*$H186)</f>
        <v>247.97999999999996</v>
      </c>
      <c r="Q186" s="44">
        <f t="shared" ref="Q186" si="285">IF(O186=0,0,P186/O186)</f>
        <v>0.36391652725191509</v>
      </c>
      <c r="S186" s="68">
        <f t="shared" ref="S186" si="286">I186-N186</f>
        <v>146</v>
      </c>
      <c r="T186" s="46">
        <f t="shared" ref="T186" si="287">J186-O186</f>
        <v>93.779999999999973</v>
      </c>
      <c r="U186" s="69">
        <f t="shared" ref="U186" si="288">K186-P186</f>
        <v>31</v>
      </c>
      <c r="W186" s="70">
        <f t="shared" ref="W186" si="289">L186-Q186</f>
        <v>-4.0352063024827189E-3</v>
      </c>
      <c r="X186" s="71">
        <f t="shared" ref="X186:X192" si="290">W186</f>
        <v>-4.0352063024827189E-3</v>
      </c>
    </row>
    <row r="187" spans="1:24" ht="20.25" customHeight="1" x14ac:dyDescent="0.35">
      <c r="A187" s="12" t="s">
        <v>26</v>
      </c>
      <c r="B187" s="12"/>
      <c r="C187" s="12" t="str">
        <f>C186</f>
        <v>SPORT BOT</v>
      </c>
      <c r="D187" s="31"/>
      <c r="E187" s="38"/>
      <c r="F187" s="39" t="str">
        <f>"S100023"</f>
        <v>S100023</v>
      </c>
      <c r="G187" s="40" t="str">
        <f>"Gripper SPORT BOT"</f>
        <v>Gripper SPORT BOT</v>
      </c>
      <c r="H187" s="41">
        <v>0.99</v>
      </c>
      <c r="I187" s="42">
        <v>433</v>
      </c>
      <c r="J187" s="43">
        <v>815.72</v>
      </c>
      <c r="K187" s="43">
        <f>J187-(I187*H187)</f>
        <v>387.05</v>
      </c>
      <c r="L187" s="44">
        <f>IF(J187=0,0,K187/J187)</f>
        <v>0.4744887951748149</v>
      </c>
      <c r="M187" s="45"/>
      <c r="N187" s="42">
        <v>1153</v>
      </c>
      <c r="O187" s="43">
        <v>2242.66</v>
      </c>
      <c r="P187" s="43">
        <f t="shared" ref="P187:P190" si="291">O187-(N187*$H187)</f>
        <v>1101.1899999999998</v>
      </c>
      <c r="Q187" s="44">
        <f t="shared" ref="Q187:Q190" si="292">IF(O187=0,0,P187/O187)</f>
        <v>0.49101959280497265</v>
      </c>
      <c r="S187" s="68">
        <f t="shared" ref="S187:S190" si="293">I187-N187</f>
        <v>-720</v>
      </c>
      <c r="T187" s="46">
        <f t="shared" ref="T187:T190" si="294">J187-O187</f>
        <v>-1426.9399999999998</v>
      </c>
      <c r="U187" s="69">
        <f t="shared" ref="U187:U190" si="295">K187-P187</f>
        <v>-714.13999999999987</v>
      </c>
      <c r="W187" s="70">
        <f t="shared" ref="W187:W190" si="296">L187-Q187</f>
        <v>-1.6530797630157745E-2</v>
      </c>
      <c r="X187" s="71">
        <f t="shared" si="290"/>
        <v>-1.6530797630157745E-2</v>
      </c>
    </row>
    <row r="188" spans="1:24" ht="20.25" customHeight="1" x14ac:dyDescent="0.35">
      <c r="A188" s="12" t="s">
        <v>26</v>
      </c>
      <c r="B188" s="12"/>
      <c r="C188" s="12" t="str">
        <f>C187</f>
        <v>SPORT BOT</v>
      </c>
      <c r="D188" s="31"/>
      <c r="E188" s="38"/>
      <c r="F188" s="39" t="str">
        <f>"S100024"</f>
        <v>S100024</v>
      </c>
      <c r="G188" s="40" t="str">
        <f>"Aluminum SPORT BOT"</f>
        <v>Aluminum SPORT BOT</v>
      </c>
      <c r="H188" s="41">
        <v>2.1</v>
      </c>
      <c r="I188" s="42">
        <v>506</v>
      </c>
      <c r="J188" s="43">
        <v>1721.5500000000002</v>
      </c>
      <c r="K188" s="43">
        <f>J188-(I188*H188)</f>
        <v>658.95</v>
      </c>
      <c r="L188" s="44">
        <f>IF(J188=0,0,K188/J188)</f>
        <v>0.38276553106212424</v>
      </c>
      <c r="M188" s="45"/>
      <c r="N188" s="42">
        <v>769</v>
      </c>
      <c r="O188" s="43">
        <v>2650.19</v>
      </c>
      <c r="P188" s="43">
        <f t="shared" si="291"/>
        <v>1035.29</v>
      </c>
      <c r="Q188" s="44">
        <f t="shared" si="292"/>
        <v>0.39064746301208592</v>
      </c>
      <c r="S188" s="68">
        <f t="shared" si="293"/>
        <v>-263</v>
      </c>
      <c r="T188" s="46">
        <f t="shared" si="294"/>
        <v>-928.63999999999987</v>
      </c>
      <c r="U188" s="69">
        <f t="shared" si="295"/>
        <v>-376.33999999999992</v>
      </c>
      <c r="W188" s="70">
        <f t="shared" si="296"/>
        <v>-7.8819319499616736E-3</v>
      </c>
      <c r="X188" s="71">
        <f t="shared" si="290"/>
        <v>-7.8819319499616736E-3</v>
      </c>
    </row>
    <row r="189" spans="1:24" ht="20.25" customHeight="1" x14ac:dyDescent="0.35">
      <c r="A189" s="12" t="s">
        <v>26</v>
      </c>
      <c r="B189" s="12"/>
      <c r="C189" s="12" t="str">
        <f>C188</f>
        <v>SPORT BOT</v>
      </c>
      <c r="D189" s="31"/>
      <c r="E189" s="38"/>
      <c r="F189" s="39" t="str">
        <f>"S100025"</f>
        <v>S100025</v>
      </c>
      <c r="G189" s="40" t="str">
        <f>"SPORT BOT with Pop Lid"</f>
        <v>SPORT BOT with Pop Lid</v>
      </c>
      <c r="H189" s="41">
        <v>0.96</v>
      </c>
      <c r="I189" s="42">
        <v>463</v>
      </c>
      <c r="J189" s="43">
        <v>771.35</v>
      </c>
      <c r="K189" s="43">
        <f>J189-(I189*H189)</f>
        <v>326.87000000000006</v>
      </c>
      <c r="L189" s="44">
        <f>IF(J189=0,0,K189/J189)</f>
        <v>0.42376353147079804</v>
      </c>
      <c r="M189" s="45"/>
      <c r="N189" s="42">
        <v>318</v>
      </c>
      <c r="O189" s="43">
        <v>529.79</v>
      </c>
      <c r="P189" s="43">
        <f t="shared" si="291"/>
        <v>224.51</v>
      </c>
      <c r="Q189" s="44">
        <f t="shared" si="292"/>
        <v>0.42377168311972668</v>
      </c>
      <c r="S189" s="68">
        <f t="shared" si="293"/>
        <v>145</v>
      </c>
      <c r="T189" s="46">
        <f t="shared" si="294"/>
        <v>241.56000000000006</v>
      </c>
      <c r="U189" s="69">
        <f t="shared" si="295"/>
        <v>102.36000000000007</v>
      </c>
      <c r="W189" s="70">
        <f t="shared" si="296"/>
        <v>-8.151648928644839E-6</v>
      </c>
      <c r="X189" s="71">
        <f t="shared" si="290"/>
        <v>-8.151648928644839E-6</v>
      </c>
    </row>
    <row r="190" spans="1:24" ht="20.25" customHeight="1" x14ac:dyDescent="0.35">
      <c r="A190" s="12" t="s">
        <v>26</v>
      </c>
      <c r="B190" s="12"/>
      <c r="C190" s="12" t="str">
        <f>C189</f>
        <v>SPORT BOT</v>
      </c>
      <c r="D190" s="31"/>
      <c r="E190" s="38"/>
      <c r="F190" s="39" t="str">
        <f>"S100026"</f>
        <v>S100026</v>
      </c>
      <c r="G190" s="40" t="str">
        <f>"Wide SPORT BOT"</f>
        <v>Wide SPORT BOT</v>
      </c>
      <c r="H190" s="41">
        <v>1.9</v>
      </c>
      <c r="I190" s="42">
        <v>1776.0000000000002</v>
      </c>
      <c r="J190" s="43">
        <v>6994.28</v>
      </c>
      <c r="K190" s="43">
        <f>J190-(I190*H190)</f>
        <v>3619.8799999999997</v>
      </c>
      <c r="L190" s="44">
        <f>IF(J190=0,0,K190/J190)</f>
        <v>0.51754862544822333</v>
      </c>
      <c r="M190" s="45"/>
      <c r="N190" s="42">
        <v>1099</v>
      </c>
      <c r="O190" s="43">
        <v>4337.88</v>
      </c>
      <c r="P190" s="43">
        <f t="shared" si="291"/>
        <v>2249.7800000000002</v>
      </c>
      <c r="Q190" s="44">
        <f t="shared" si="292"/>
        <v>0.51863583132774538</v>
      </c>
      <c r="S190" s="68">
        <f t="shared" si="293"/>
        <v>677.00000000000023</v>
      </c>
      <c r="T190" s="46">
        <f t="shared" si="294"/>
        <v>2656.3999999999996</v>
      </c>
      <c r="U190" s="69">
        <f t="shared" si="295"/>
        <v>1370.0999999999995</v>
      </c>
      <c r="W190" s="70">
        <f t="shared" si="296"/>
        <v>-1.0872058795220463E-3</v>
      </c>
      <c r="X190" s="71">
        <f t="shared" si="290"/>
        <v>-1.0872058795220463E-3</v>
      </c>
    </row>
    <row r="191" spans="1:24" ht="17.25" customHeight="1" x14ac:dyDescent="0.3">
      <c r="A191" s="12" t="s">
        <v>26</v>
      </c>
      <c r="B191" s="12"/>
      <c r="C191" s="12" t="str">
        <f>C186</f>
        <v>SPORT BOT</v>
      </c>
      <c r="D191" s="31"/>
      <c r="E191" s="38"/>
      <c r="F191" s="31"/>
      <c r="G191" s="31"/>
      <c r="H191" s="31"/>
      <c r="I191" s="42"/>
      <c r="J191" s="47"/>
      <c r="K191" s="47"/>
      <c r="L191" s="48"/>
      <c r="M191" s="45"/>
      <c r="N191" s="42"/>
      <c r="O191" s="47"/>
      <c r="P191" s="47"/>
      <c r="Q191" s="48"/>
      <c r="S191" s="68"/>
      <c r="T191" s="46"/>
      <c r="U191" s="69"/>
      <c r="W191" s="70"/>
      <c r="X191" s="71">
        <f t="shared" si="290"/>
        <v>0</v>
      </c>
    </row>
    <row r="192" spans="1:24" s="49" customFormat="1" ht="20.25" customHeight="1" x14ac:dyDescent="0.35">
      <c r="A192" s="50" t="s">
        <v>26</v>
      </c>
      <c r="B192" s="12"/>
      <c r="C192" s="12" t="str">
        <f>C191</f>
        <v>SPORT BOT</v>
      </c>
      <c r="D192" s="31"/>
      <c r="E192" s="51"/>
      <c r="F192" s="52"/>
      <c r="G192" s="52"/>
      <c r="H192" s="53" t="str">
        <f>E185&amp;" Total"</f>
        <v>SPORT BOT Total</v>
      </c>
      <c r="I192" s="54">
        <f>SUBTOTAL(9,I186:I191)</f>
        <v>4332</v>
      </c>
      <c r="J192" s="55">
        <f>SUBTOTAL(9,J186:J191)</f>
        <v>11078.1</v>
      </c>
      <c r="K192" s="55">
        <f>SUBTOTAL(9,K186:K191)</f>
        <v>5271.73</v>
      </c>
      <c r="L192" s="56">
        <f>IF(J192=0,0,K192/J192)</f>
        <v>0.47586950830918656</v>
      </c>
      <c r="M192" s="57"/>
      <c r="N192" s="54">
        <f>SUBTOTAL(9,N186:N191)</f>
        <v>4347</v>
      </c>
      <c r="O192" s="55">
        <f>SUBTOTAL(9,O186:O191)</f>
        <v>10441.94</v>
      </c>
      <c r="P192" s="55">
        <f t="shared" ref="P192" si="297">SUM(P186:P191)</f>
        <v>4858.75</v>
      </c>
      <c r="Q192" s="56">
        <f t="shared" ref="Q192" si="298">IF(O192=0,0,P192/O192)</f>
        <v>0.46531104373325261</v>
      </c>
      <c r="R192" s="58"/>
      <c r="S192" s="72">
        <f t="shared" ref="S192:U192" si="299">SUBTOTAL(9,S186:S191)</f>
        <v>-14.999999999999773</v>
      </c>
      <c r="T192" s="59">
        <f t="shared" si="299"/>
        <v>636.15999999999985</v>
      </c>
      <c r="U192" s="73">
        <f t="shared" si="299"/>
        <v>412.97999999999979</v>
      </c>
      <c r="V192" s="58"/>
      <c r="W192" s="74">
        <f t="shared" ref="W192" si="300">L192-Q192</f>
        <v>1.0558464575933957E-2</v>
      </c>
      <c r="X192" s="71">
        <f t="shared" si="290"/>
        <v>1.0558464575933957E-2</v>
      </c>
    </row>
    <row r="193" spans="1:24" s="49" customFormat="1" ht="20.25" customHeight="1" x14ac:dyDescent="0.35">
      <c r="A193" s="50" t="s">
        <v>26</v>
      </c>
      <c r="B193" s="12"/>
      <c r="C193" s="12" t="str">
        <f>C192</f>
        <v>SPORT BOT</v>
      </c>
      <c r="D193" s="31"/>
      <c r="E193" s="101"/>
      <c r="F193" s="102"/>
      <c r="G193" s="102"/>
      <c r="H193" s="103"/>
      <c r="I193" s="104"/>
      <c r="J193" s="105"/>
      <c r="K193" s="105"/>
      <c r="L193" s="106"/>
      <c r="M193" s="57"/>
      <c r="N193" s="104"/>
      <c r="O193" s="105"/>
      <c r="P193" s="105"/>
      <c r="Q193" s="106"/>
      <c r="R193" s="58"/>
      <c r="S193" s="107"/>
      <c r="T193" s="108"/>
      <c r="U193" s="109"/>
      <c r="V193" s="58"/>
      <c r="W193" s="110"/>
      <c r="X193" s="75"/>
    </row>
    <row r="194" spans="1:24" ht="20.25" customHeight="1" x14ac:dyDescent="0.35">
      <c r="A194" s="12" t="s">
        <v>26</v>
      </c>
      <c r="B194" s="12"/>
      <c r="C194" s="12" t="str">
        <f>E194</f>
        <v>SPORTS BAG</v>
      </c>
      <c r="D194" s="31"/>
      <c r="E194" s="32" t="str">
        <f>"SPORTS BAG"</f>
        <v>SPORTS BAG</v>
      </c>
      <c r="F194" s="33"/>
      <c r="G194" s="33"/>
      <c r="H194" s="33"/>
      <c r="I194" s="34"/>
      <c r="J194" s="31"/>
      <c r="K194" s="31"/>
      <c r="L194" s="35"/>
      <c r="N194" s="36"/>
      <c r="O194" s="33"/>
      <c r="P194" s="33"/>
      <c r="Q194" s="37"/>
      <c r="S194" s="64"/>
      <c r="T194" s="65"/>
      <c r="U194" s="66"/>
      <c r="W194" s="67"/>
      <c r="X194" s="66"/>
    </row>
    <row r="195" spans="1:24" ht="20.25" customHeight="1" x14ac:dyDescent="0.35">
      <c r="A195" s="12" t="s">
        <v>26</v>
      </c>
      <c r="B195" s="12"/>
      <c r="C195" s="12" t="str">
        <f>C194</f>
        <v>SPORTS BAG</v>
      </c>
      <c r="D195" s="31"/>
      <c r="E195" s="38"/>
      <c r="F195" s="39" t="str">
        <f>"C100017"</f>
        <v>C100017</v>
      </c>
      <c r="G195" s="40" t="str">
        <f>"Wheeled Duffel"</f>
        <v>Wheeled Duffel</v>
      </c>
      <c r="H195" s="41">
        <v>101.21980000000001</v>
      </c>
      <c r="I195" s="42">
        <v>193</v>
      </c>
      <c r="J195" s="43">
        <v>35261.449999999997</v>
      </c>
      <c r="K195" s="43">
        <f>J195-(I195*H195)</f>
        <v>15726.028599999994</v>
      </c>
      <c r="L195" s="44">
        <f>IF(J195=0,0,K195/J195)</f>
        <v>0.4459836053253623</v>
      </c>
      <c r="M195" s="45"/>
      <c r="N195" s="42">
        <v>169</v>
      </c>
      <c r="O195" s="43">
        <v>31833.71</v>
      </c>
      <c r="P195" s="43">
        <f t="shared" ref="P195" si="301">O195-(N195*$H195)</f>
        <v>14727.563799999996</v>
      </c>
      <c r="Q195" s="44">
        <f t="shared" ref="Q195" si="302">IF(O195=0,0,P195/O195)</f>
        <v>0.46264050907041615</v>
      </c>
      <c r="S195" s="68">
        <f t="shared" ref="S195" si="303">I195-N195</f>
        <v>24</v>
      </c>
      <c r="T195" s="46">
        <f t="shared" ref="T195" si="304">J195-O195</f>
        <v>3427.739999999998</v>
      </c>
      <c r="U195" s="69">
        <f t="shared" ref="U195" si="305">K195-P195</f>
        <v>998.46479999999792</v>
      </c>
      <c r="W195" s="70">
        <f t="shared" ref="W195" si="306">L195-Q195</f>
        <v>-1.6656903745053853E-2</v>
      </c>
      <c r="X195" s="71">
        <f t="shared" ref="X195:X201" si="307">W195</f>
        <v>-1.6656903745053853E-2</v>
      </c>
    </row>
    <row r="196" spans="1:24" ht="20.25" customHeight="1" x14ac:dyDescent="0.35">
      <c r="A196" s="12" t="s">
        <v>26</v>
      </c>
      <c r="B196" s="12"/>
      <c r="C196" s="12" t="str">
        <f>C195</f>
        <v>SPORTS BAG</v>
      </c>
      <c r="D196" s="31"/>
      <c r="E196" s="38"/>
      <c r="F196" s="39" t="str">
        <f>"C100018"</f>
        <v>C100018</v>
      </c>
      <c r="G196" s="40" t="str">
        <f>"Action Sport Duffel"</f>
        <v>Action Sport Duffel</v>
      </c>
      <c r="H196" s="41">
        <v>8.5500000000000007</v>
      </c>
      <c r="I196" s="42">
        <v>618</v>
      </c>
      <c r="J196" s="43">
        <v>10639.94</v>
      </c>
      <c r="K196" s="43">
        <f>J196-(I196*H196)</f>
        <v>5356.04</v>
      </c>
      <c r="L196" s="44">
        <f>IF(J196=0,0,K196/J196)</f>
        <v>0.50339005671084613</v>
      </c>
      <c r="M196" s="45"/>
      <c r="N196" s="42">
        <v>482</v>
      </c>
      <c r="O196" s="43">
        <v>8157.45</v>
      </c>
      <c r="P196" s="43">
        <f t="shared" ref="P196:P199" si="308">O196-(N196*$H196)</f>
        <v>4036.3499999999995</v>
      </c>
      <c r="Q196" s="44">
        <f t="shared" ref="Q196:Q199" si="309">IF(O196=0,0,P196/O196)</f>
        <v>0.49480536196973313</v>
      </c>
      <c r="S196" s="68">
        <f t="shared" ref="S196:S199" si="310">I196-N196</f>
        <v>136</v>
      </c>
      <c r="T196" s="46">
        <f t="shared" ref="T196:T199" si="311">J196-O196</f>
        <v>2482.4900000000007</v>
      </c>
      <c r="U196" s="69">
        <f t="shared" ref="U196:U199" si="312">K196-P196</f>
        <v>1319.6900000000005</v>
      </c>
      <c r="W196" s="70">
        <f t="shared" ref="W196:W199" si="313">L196-Q196</f>
        <v>8.5846947411130081E-3</v>
      </c>
      <c r="X196" s="71">
        <f t="shared" si="307"/>
        <v>8.5846947411130081E-3</v>
      </c>
    </row>
    <row r="197" spans="1:24" ht="20.25" customHeight="1" x14ac:dyDescent="0.35">
      <c r="A197" s="12" t="s">
        <v>26</v>
      </c>
      <c r="B197" s="12"/>
      <c r="C197" s="12" t="str">
        <f>C196</f>
        <v>SPORTS BAG</v>
      </c>
      <c r="D197" s="31"/>
      <c r="E197" s="38"/>
      <c r="F197" s="39" t="str">
        <f>"C100019"</f>
        <v>C100019</v>
      </c>
      <c r="G197" s="40" t="str">
        <f>"Black Duffel Bag"</f>
        <v>Black Duffel Bag</v>
      </c>
      <c r="H197" s="41">
        <v>42.72</v>
      </c>
      <c r="I197" s="42">
        <v>816</v>
      </c>
      <c r="J197" s="43">
        <v>56081.87</v>
      </c>
      <c r="K197" s="43">
        <f>J197-(I197*H197)</f>
        <v>21222.350000000006</v>
      </c>
      <c r="L197" s="44">
        <f>IF(J197=0,0,K197/J197)</f>
        <v>0.3784173031320105</v>
      </c>
      <c r="M197" s="45"/>
      <c r="N197" s="42">
        <v>434</v>
      </c>
      <c r="O197" s="43">
        <v>29860.249999999996</v>
      </c>
      <c r="P197" s="43">
        <f t="shared" si="308"/>
        <v>11319.769999999997</v>
      </c>
      <c r="Q197" s="44">
        <f t="shared" si="309"/>
        <v>0.37909160171130513</v>
      </c>
      <c r="S197" s="68">
        <f t="shared" si="310"/>
        <v>382</v>
      </c>
      <c r="T197" s="46">
        <f t="shared" si="311"/>
        <v>26221.620000000006</v>
      </c>
      <c r="U197" s="69">
        <f t="shared" si="312"/>
        <v>9902.580000000009</v>
      </c>
      <c r="W197" s="70">
        <f t="shared" si="313"/>
        <v>-6.7429857929462989E-4</v>
      </c>
      <c r="X197" s="71">
        <f t="shared" si="307"/>
        <v>-6.7429857929462989E-4</v>
      </c>
    </row>
    <row r="198" spans="1:24" ht="20.25" customHeight="1" x14ac:dyDescent="0.35">
      <c r="A198" s="12" t="s">
        <v>26</v>
      </c>
      <c r="B198" s="12"/>
      <c r="C198" s="12" t="str">
        <f>C197</f>
        <v>SPORTS BAG</v>
      </c>
      <c r="D198" s="31"/>
      <c r="E198" s="38"/>
      <c r="F198" s="39" t="str">
        <f>"C100020"</f>
        <v>C100020</v>
      </c>
      <c r="G198" s="40" t="str">
        <f>"Gym Locker Bag"</f>
        <v>Gym Locker Bag</v>
      </c>
      <c r="H198" s="41">
        <v>7.74</v>
      </c>
      <c r="I198" s="42">
        <v>828</v>
      </c>
      <c r="J198" s="43">
        <v>11151.24</v>
      </c>
      <c r="K198" s="43">
        <f>J198-(I198*H198)</f>
        <v>4742.5199999999995</v>
      </c>
      <c r="L198" s="44">
        <f>IF(J198=0,0,K198/J198)</f>
        <v>0.42529081967565935</v>
      </c>
      <c r="M198" s="45"/>
      <c r="N198" s="42">
        <v>-4</v>
      </c>
      <c r="O198" s="43">
        <v>-54.99</v>
      </c>
      <c r="P198" s="43">
        <f t="shared" si="308"/>
        <v>-24.03</v>
      </c>
      <c r="Q198" s="44">
        <f t="shared" si="309"/>
        <v>0.4369885433715221</v>
      </c>
      <c r="S198" s="68">
        <f t="shared" si="310"/>
        <v>832</v>
      </c>
      <c r="T198" s="46">
        <f t="shared" si="311"/>
        <v>11206.23</v>
      </c>
      <c r="U198" s="69">
        <f t="shared" si="312"/>
        <v>4766.5499999999993</v>
      </c>
      <c r="W198" s="70">
        <f t="shared" si="313"/>
        <v>-1.169772369586275E-2</v>
      </c>
      <c r="X198" s="71">
        <f t="shared" si="307"/>
        <v>-1.169772369586275E-2</v>
      </c>
    </row>
    <row r="199" spans="1:24" ht="20.25" customHeight="1" x14ac:dyDescent="0.35">
      <c r="A199" s="12" t="s">
        <v>26</v>
      </c>
      <c r="B199" s="12"/>
      <c r="C199" s="12" t="str">
        <f>C198</f>
        <v>SPORTS BAG</v>
      </c>
      <c r="D199" s="31"/>
      <c r="E199" s="38"/>
      <c r="F199" s="39" t="str">
        <f>"E100001"</f>
        <v>E100001</v>
      </c>
      <c r="G199" s="40" t="str">
        <f>"Sport Bag"</f>
        <v>Sport Bag</v>
      </c>
      <c r="H199" s="41">
        <v>0.87</v>
      </c>
      <c r="I199" s="42">
        <v>1948</v>
      </c>
      <c r="J199" s="43">
        <v>3409.52</v>
      </c>
      <c r="K199" s="43">
        <f>J199-(I199*H199)</f>
        <v>1714.76</v>
      </c>
      <c r="L199" s="44">
        <f>IF(J199=0,0,K199/J199)</f>
        <v>0.50293296417090971</v>
      </c>
      <c r="M199" s="45"/>
      <c r="N199" s="42">
        <v>1515.9999999999998</v>
      </c>
      <c r="O199" s="43">
        <v>2661.6299999999997</v>
      </c>
      <c r="P199" s="43">
        <f t="shared" si="308"/>
        <v>1342.7099999999998</v>
      </c>
      <c r="Q199" s="44">
        <f t="shared" si="309"/>
        <v>0.50446906594830987</v>
      </c>
      <c r="S199" s="68">
        <f t="shared" si="310"/>
        <v>432.00000000000023</v>
      </c>
      <c r="T199" s="46">
        <f t="shared" si="311"/>
        <v>747.89000000000033</v>
      </c>
      <c r="U199" s="69">
        <f t="shared" si="312"/>
        <v>372.05000000000018</v>
      </c>
      <c r="W199" s="70">
        <f t="shared" si="313"/>
        <v>-1.5361017774001562E-3</v>
      </c>
      <c r="X199" s="71">
        <f t="shared" si="307"/>
        <v>-1.5361017774001562E-3</v>
      </c>
    </row>
    <row r="200" spans="1:24" ht="17.25" customHeight="1" x14ac:dyDescent="0.3">
      <c r="A200" s="12" t="s">
        <v>26</v>
      </c>
      <c r="B200" s="12"/>
      <c r="C200" s="12" t="str">
        <f>C195</f>
        <v>SPORTS BAG</v>
      </c>
      <c r="D200" s="31"/>
      <c r="E200" s="38"/>
      <c r="F200" s="31"/>
      <c r="G200" s="31"/>
      <c r="H200" s="31"/>
      <c r="I200" s="42"/>
      <c r="J200" s="47"/>
      <c r="K200" s="47"/>
      <c r="L200" s="48"/>
      <c r="M200" s="45"/>
      <c r="N200" s="42"/>
      <c r="O200" s="47"/>
      <c r="P200" s="47"/>
      <c r="Q200" s="48"/>
      <c r="S200" s="68"/>
      <c r="T200" s="46"/>
      <c r="U200" s="69"/>
      <c r="W200" s="70"/>
      <c r="X200" s="71">
        <f t="shared" si="307"/>
        <v>0</v>
      </c>
    </row>
    <row r="201" spans="1:24" s="49" customFormat="1" ht="20.25" customHeight="1" x14ac:dyDescent="0.35">
      <c r="A201" s="50" t="s">
        <v>26</v>
      </c>
      <c r="B201" s="12"/>
      <c r="C201" s="12" t="str">
        <f>C200</f>
        <v>SPORTS BAG</v>
      </c>
      <c r="D201" s="31"/>
      <c r="E201" s="51"/>
      <c r="F201" s="52"/>
      <c r="G201" s="52"/>
      <c r="H201" s="53" t="str">
        <f>E194&amp;" Total"</f>
        <v>SPORTS BAG Total</v>
      </c>
      <c r="I201" s="54">
        <f>SUBTOTAL(9,I195:I200)</f>
        <v>4403</v>
      </c>
      <c r="J201" s="55">
        <f>SUBTOTAL(9,J195:J200)</f>
        <v>116544.02000000002</v>
      </c>
      <c r="K201" s="55">
        <f>SUBTOTAL(9,K195:K200)</f>
        <v>48761.698600000003</v>
      </c>
      <c r="L201" s="56">
        <f>IF(J201=0,0,K201/J201)</f>
        <v>0.41839725967921815</v>
      </c>
      <c r="M201" s="57"/>
      <c r="N201" s="54">
        <f>SUBTOTAL(9,N195:N200)</f>
        <v>2597</v>
      </c>
      <c r="O201" s="55">
        <f>SUBTOTAL(9,O195:O200)</f>
        <v>72458.049999999988</v>
      </c>
      <c r="P201" s="55">
        <f t="shared" ref="P201" si="314">SUM(P195:P200)</f>
        <v>31402.363799999992</v>
      </c>
      <c r="Q201" s="56">
        <f t="shared" ref="Q201" si="315">IF(O201=0,0,P201/O201)</f>
        <v>0.43338681899388676</v>
      </c>
      <c r="R201" s="58"/>
      <c r="S201" s="72">
        <f t="shared" ref="S201:U201" si="316">SUBTOTAL(9,S195:S200)</f>
        <v>1806.0000000000002</v>
      </c>
      <c r="T201" s="59">
        <f t="shared" si="316"/>
        <v>44085.97</v>
      </c>
      <c r="U201" s="73">
        <f t="shared" si="316"/>
        <v>17359.334800000008</v>
      </c>
      <c r="V201" s="58"/>
      <c r="W201" s="74">
        <f t="shared" ref="W201" si="317">L201-Q201</f>
        <v>-1.498955931466861E-2</v>
      </c>
      <c r="X201" s="71">
        <f t="shared" si="307"/>
        <v>-1.498955931466861E-2</v>
      </c>
    </row>
    <row r="202" spans="1:24" s="49" customFormat="1" ht="20.25" customHeight="1" x14ac:dyDescent="0.35">
      <c r="A202" s="50" t="s">
        <v>26</v>
      </c>
      <c r="B202" s="12"/>
      <c r="C202" s="12" t="str">
        <f>C201</f>
        <v>SPORTS BAG</v>
      </c>
      <c r="D202" s="31"/>
      <c r="E202" s="101"/>
      <c r="F202" s="102"/>
      <c r="G202" s="102"/>
      <c r="H202" s="103"/>
      <c r="I202" s="104"/>
      <c r="J202" s="105"/>
      <c r="K202" s="105"/>
      <c r="L202" s="106"/>
      <c r="M202" s="57"/>
      <c r="N202" s="104"/>
      <c r="O202" s="105"/>
      <c r="P202" s="105"/>
      <c r="Q202" s="106"/>
      <c r="R202" s="58"/>
      <c r="S202" s="107"/>
      <c r="T202" s="108"/>
      <c r="U202" s="109"/>
      <c r="V202" s="58"/>
      <c r="W202" s="110"/>
      <c r="X202" s="75"/>
    </row>
    <row r="203" spans="1:24" ht="20.25" customHeight="1" x14ac:dyDescent="0.35">
      <c r="A203" s="12" t="s">
        <v>26</v>
      </c>
      <c r="B203" s="12"/>
      <c r="C203" s="12" t="str">
        <f>E203</f>
        <v>STOPWATCH</v>
      </c>
      <c r="D203" s="31"/>
      <c r="E203" s="32" t="str">
        <f>"STOPWATCH"</f>
        <v>STOPWATCH</v>
      </c>
      <c r="F203" s="33"/>
      <c r="G203" s="33"/>
      <c r="H203" s="33"/>
      <c r="I203" s="34"/>
      <c r="J203" s="31"/>
      <c r="K203" s="31"/>
      <c r="L203" s="35"/>
      <c r="N203" s="36"/>
      <c r="O203" s="33"/>
      <c r="P203" s="33"/>
      <c r="Q203" s="37"/>
      <c r="S203" s="64"/>
      <c r="T203" s="65"/>
      <c r="U203" s="66"/>
      <c r="W203" s="67"/>
      <c r="X203" s="66"/>
    </row>
    <row r="204" spans="1:24" ht="20.25" customHeight="1" x14ac:dyDescent="0.35">
      <c r="A204" s="12" t="s">
        <v>26</v>
      </c>
      <c r="B204" s="12"/>
      <c r="C204" s="12" t="str">
        <f>C203</f>
        <v>STOPWATCH</v>
      </c>
      <c r="D204" s="31"/>
      <c r="E204" s="38"/>
      <c r="F204" s="39" t="str">
        <f>"E100012"</f>
        <v>E100012</v>
      </c>
      <c r="G204" s="40" t="str">
        <f>"Canvas Stopwatch"</f>
        <v>Canvas Stopwatch</v>
      </c>
      <c r="H204" s="41">
        <v>1.96</v>
      </c>
      <c r="I204" s="42">
        <v>2026</v>
      </c>
      <c r="J204" s="43">
        <v>7122.4</v>
      </c>
      <c r="K204" s="43">
        <f>J204-(I204*H204)</f>
        <v>3151.4399999999996</v>
      </c>
      <c r="L204" s="44">
        <f>IF(J204=0,0,K204/J204)</f>
        <v>0.44246883073121418</v>
      </c>
      <c r="M204" s="45"/>
      <c r="N204" s="42">
        <v>890.00000000000011</v>
      </c>
      <c r="O204" s="43">
        <v>3204.72</v>
      </c>
      <c r="P204" s="43">
        <f t="shared" ref="P204" si="318">O204-(N204*$H204)</f>
        <v>1460.3199999999997</v>
      </c>
      <c r="Q204" s="44">
        <f t="shared" ref="Q204" si="319">IF(O204=0,0,P204/O204)</f>
        <v>0.45567787513417701</v>
      </c>
      <c r="S204" s="68">
        <f t="shared" ref="S204" si="320">I204-N204</f>
        <v>1136</v>
      </c>
      <c r="T204" s="46">
        <f t="shared" ref="T204" si="321">J204-O204</f>
        <v>3917.68</v>
      </c>
      <c r="U204" s="69">
        <f t="shared" ref="U204" si="322">K204-P204</f>
        <v>1691.12</v>
      </c>
      <c r="W204" s="70">
        <f t="shared" ref="W204" si="323">L204-Q204</f>
        <v>-1.3209044402962833E-2</v>
      </c>
      <c r="X204" s="71">
        <f t="shared" ref="X204:X210" si="324">W204</f>
        <v>-1.3209044402962833E-2</v>
      </c>
    </row>
    <row r="205" spans="1:24" ht="20.25" customHeight="1" x14ac:dyDescent="0.35">
      <c r="A205" s="12" t="s">
        <v>26</v>
      </c>
      <c r="B205" s="12"/>
      <c r="C205" s="12" t="str">
        <f>C204</f>
        <v>STOPWATCH</v>
      </c>
      <c r="D205" s="31"/>
      <c r="E205" s="38"/>
      <c r="F205" s="39" t="str">
        <f>"E100013"</f>
        <v>E100013</v>
      </c>
      <c r="G205" s="40" t="str">
        <f>"Clip-on Stopwatch"</f>
        <v>Clip-on Stopwatch</v>
      </c>
      <c r="H205" s="41">
        <v>1.4401999999999999</v>
      </c>
      <c r="I205" s="42">
        <v>1297</v>
      </c>
      <c r="J205" s="43">
        <v>3428.63</v>
      </c>
      <c r="K205" s="43">
        <f>J205-(I205*H205)</f>
        <v>1560.6906000000001</v>
      </c>
      <c r="L205" s="44">
        <f>IF(J205=0,0,K205/J205)</f>
        <v>0.45519364877516677</v>
      </c>
      <c r="M205" s="45"/>
      <c r="N205" s="42">
        <v>1801</v>
      </c>
      <c r="O205" s="43">
        <v>4760.0199999999995</v>
      </c>
      <c r="P205" s="43">
        <f t="shared" ref="P205:P208" si="325">O205-(N205*$H205)</f>
        <v>2166.2197999999999</v>
      </c>
      <c r="Q205" s="44">
        <f t="shared" ref="Q205:Q208" si="326">IF(O205=0,0,P205/O205)</f>
        <v>0.45508628115007921</v>
      </c>
      <c r="S205" s="68">
        <f t="shared" ref="S205:S208" si="327">I205-N205</f>
        <v>-504</v>
      </c>
      <c r="T205" s="46">
        <f t="shared" ref="T205:T208" si="328">J205-O205</f>
        <v>-1331.3899999999994</v>
      </c>
      <c r="U205" s="69">
        <f t="shared" ref="U205:U208" si="329">K205-P205</f>
        <v>-605.52919999999972</v>
      </c>
      <c r="W205" s="70">
        <f t="shared" ref="W205:W208" si="330">L205-Q205</f>
        <v>1.0736762508756215E-4</v>
      </c>
      <c r="X205" s="71">
        <f t="shared" si="324"/>
        <v>1.0736762508756215E-4</v>
      </c>
    </row>
    <row r="206" spans="1:24" ht="20.25" customHeight="1" x14ac:dyDescent="0.35">
      <c r="A206" s="12" t="s">
        <v>26</v>
      </c>
      <c r="B206" s="12"/>
      <c r="C206" s="12" t="str">
        <f>C205</f>
        <v>STOPWATCH</v>
      </c>
      <c r="D206" s="31"/>
      <c r="E206" s="38"/>
      <c r="F206" s="39" t="str">
        <f>"E100014"</f>
        <v>E100014</v>
      </c>
      <c r="G206" s="40" t="str">
        <f>"Stopwatch with Neck Rope"</f>
        <v>Stopwatch with Neck Rope</v>
      </c>
      <c r="H206" s="41">
        <v>1.29</v>
      </c>
      <c r="I206" s="42">
        <v>1718</v>
      </c>
      <c r="J206" s="43">
        <v>4532.57</v>
      </c>
      <c r="K206" s="43">
        <f>J206-(I206*H206)</f>
        <v>2316.3499999999995</v>
      </c>
      <c r="L206" s="44">
        <f>IF(J206=0,0,K206/J206)</f>
        <v>0.51104560988578218</v>
      </c>
      <c r="M206" s="45"/>
      <c r="N206" s="42">
        <v>1995</v>
      </c>
      <c r="O206" s="43">
        <v>5328.63</v>
      </c>
      <c r="P206" s="43">
        <f t="shared" si="325"/>
        <v>2755.08</v>
      </c>
      <c r="Q206" s="44">
        <f t="shared" si="326"/>
        <v>0.51703345888155117</v>
      </c>
      <c r="S206" s="68">
        <f t="shared" si="327"/>
        <v>-277</v>
      </c>
      <c r="T206" s="46">
        <f t="shared" si="328"/>
        <v>-796.0600000000004</v>
      </c>
      <c r="U206" s="69">
        <f t="shared" si="329"/>
        <v>-438.73000000000047</v>
      </c>
      <c r="W206" s="70">
        <f t="shared" si="330"/>
        <v>-5.9878489957689851E-3</v>
      </c>
      <c r="X206" s="71">
        <f t="shared" si="324"/>
        <v>-5.9878489957689851E-3</v>
      </c>
    </row>
    <row r="207" spans="1:24" ht="20.25" customHeight="1" x14ac:dyDescent="0.35">
      <c r="A207" s="12" t="s">
        <v>26</v>
      </c>
      <c r="B207" s="12"/>
      <c r="C207" s="12" t="str">
        <f>C206</f>
        <v>STOPWATCH</v>
      </c>
      <c r="D207" s="31"/>
      <c r="E207" s="38"/>
      <c r="F207" s="39" t="str">
        <f>"S100020"</f>
        <v>S100020</v>
      </c>
      <c r="G207" s="40" t="str">
        <f>"Super Sport Stopwatch"</f>
        <v>Super Sport Stopwatch</v>
      </c>
      <c r="H207" s="41">
        <v>1.05</v>
      </c>
      <c r="I207" s="42">
        <v>2764</v>
      </c>
      <c r="J207" s="43">
        <v>5828.96</v>
      </c>
      <c r="K207" s="43">
        <f>J207-(I207*H207)</f>
        <v>2926.7599999999998</v>
      </c>
      <c r="L207" s="44">
        <f>IF(J207=0,0,K207/J207)</f>
        <v>0.50210672229694486</v>
      </c>
      <c r="M207" s="45"/>
      <c r="N207" s="42">
        <v>1788</v>
      </c>
      <c r="O207" s="43">
        <v>3794.49</v>
      </c>
      <c r="P207" s="43">
        <f t="shared" si="325"/>
        <v>1917.0899999999997</v>
      </c>
      <c r="Q207" s="44">
        <f t="shared" si="326"/>
        <v>0.50522995185123687</v>
      </c>
      <c r="S207" s="68">
        <f t="shared" si="327"/>
        <v>976</v>
      </c>
      <c r="T207" s="46">
        <f t="shared" si="328"/>
        <v>2034.4700000000003</v>
      </c>
      <c r="U207" s="69">
        <f t="shared" si="329"/>
        <v>1009.6700000000001</v>
      </c>
      <c r="W207" s="70">
        <f t="shared" si="330"/>
        <v>-3.1232295542920063E-3</v>
      </c>
      <c r="X207" s="71">
        <f t="shared" si="324"/>
        <v>-3.1232295542920063E-3</v>
      </c>
    </row>
    <row r="208" spans="1:24" ht="20.25" customHeight="1" x14ac:dyDescent="0.35">
      <c r="A208" s="12" t="s">
        <v>26</v>
      </c>
      <c r="B208" s="12"/>
      <c r="C208" s="12" t="str">
        <f>C207</f>
        <v>STOPWATCH</v>
      </c>
      <c r="D208" s="31"/>
      <c r="E208" s="38"/>
      <c r="F208" s="39" t="str">
        <f>"S100021"</f>
        <v>S100021</v>
      </c>
      <c r="G208" s="40" t="str">
        <f>"Translucent Stopwatch"</f>
        <v>Translucent Stopwatch</v>
      </c>
      <c r="H208" s="41">
        <v>2.1499000000000001</v>
      </c>
      <c r="I208" s="42">
        <v>2939</v>
      </c>
      <c r="J208" s="43">
        <v>11713.34</v>
      </c>
      <c r="K208" s="43">
        <f>J208-(I208*H208)</f>
        <v>5394.7838999999994</v>
      </c>
      <c r="L208" s="44">
        <f>IF(J208=0,0,K208/J208)</f>
        <v>0.46056751532867646</v>
      </c>
      <c r="M208" s="45"/>
      <c r="N208" s="42">
        <v>2283</v>
      </c>
      <c r="O208" s="43">
        <v>9248.9500000000007</v>
      </c>
      <c r="P208" s="43">
        <f t="shared" si="325"/>
        <v>4340.7283000000007</v>
      </c>
      <c r="Q208" s="44">
        <f t="shared" si="326"/>
        <v>0.4693211986225464</v>
      </c>
      <c r="S208" s="68">
        <f t="shared" si="327"/>
        <v>656</v>
      </c>
      <c r="T208" s="46">
        <f t="shared" si="328"/>
        <v>2464.3899999999994</v>
      </c>
      <c r="U208" s="69">
        <f t="shared" si="329"/>
        <v>1054.0555999999988</v>
      </c>
      <c r="W208" s="70">
        <f t="shared" si="330"/>
        <v>-8.7536832938699405E-3</v>
      </c>
      <c r="X208" s="71">
        <f t="shared" si="324"/>
        <v>-8.7536832938699405E-3</v>
      </c>
    </row>
    <row r="209" spans="1:24" ht="17.25" customHeight="1" x14ac:dyDescent="0.3">
      <c r="A209" s="12" t="s">
        <v>26</v>
      </c>
      <c r="B209" s="12"/>
      <c r="C209" s="12" t="str">
        <f>C204</f>
        <v>STOPWATCH</v>
      </c>
      <c r="D209" s="31"/>
      <c r="E209" s="38"/>
      <c r="F209" s="31"/>
      <c r="G209" s="31"/>
      <c r="H209" s="31"/>
      <c r="I209" s="42"/>
      <c r="J209" s="47"/>
      <c r="K209" s="47"/>
      <c r="L209" s="48"/>
      <c r="M209" s="45"/>
      <c r="N209" s="42"/>
      <c r="O209" s="47"/>
      <c r="P209" s="47"/>
      <c r="Q209" s="48"/>
      <c r="S209" s="68"/>
      <c r="T209" s="46"/>
      <c r="U209" s="69"/>
      <c r="W209" s="70"/>
      <c r="X209" s="71">
        <f t="shared" si="324"/>
        <v>0</v>
      </c>
    </row>
    <row r="210" spans="1:24" s="49" customFormat="1" ht="20.25" customHeight="1" x14ac:dyDescent="0.35">
      <c r="A210" s="50" t="s">
        <v>26</v>
      </c>
      <c r="B210" s="12"/>
      <c r="C210" s="12" t="str">
        <f>C209</f>
        <v>STOPWATCH</v>
      </c>
      <c r="D210" s="31"/>
      <c r="E210" s="51"/>
      <c r="F210" s="52"/>
      <c r="G210" s="52"/>
      <c r="H210" s="53" t="str">
        <f>E203&amp;" Total"</f>
        <v>STOPWATCH Total</v>
      </c>
      <c r="I210" s="54">
        <f>SUBTOTAL(9,I204:I209)</f>
        <v>10744</v>
      </c>
      <c r="J210" s="55">
        <f>SUBTOTAL(9,J204:J209)</f>
        <v>32625.899999999998</v>
      </c>
      <c r="K210" s="55">
        <f>SUBTOTAL(9,K204:K209)</f>
        <v>15350.0245</v>
      </c>
      <c r="L210" s="56">
        <f>IF(J210=0,0,K210/J210)</f>
        <v>0.47048585632886758</v>
      </c>
      <c r="M210" s="57"/>
      <c r="N210" s="54">
        <f>SUBTOTAL(9,N204:N209)</f>
        <v>8757</v>
      </c>
      <c r="O210" s="55">
        <f>SUBTOTAL(9,O204:O209)</f>
        <v>26336.81</v>
      </c>
      <c r="P210" s="55">
        <f t="shared" ref="P210" si="331">SUM(P204:P209)</f>
        <v>12639.438099999999</v>
      </c>
      <c r="Q210" s="56">
        <f t="shared" ref="Q210" si="332">IF(O210=0,0,P210/O210)</f>
        <v>0.47991530105582259</v>
      </c>
      <c r="R210" s="58"/>
      <c r="S210" s="72">
        <f t="shared" ref="S210:U210" si="333">SUBTOTAL(9,S204:S209)</f>
        <v>1987</v>
      </c>
      <c r="T210" s="59">
        <f t="shared" si="333"/>
        <v>6289.09</v>
      </c>
      <c r="U210" s="73">
        <f t="shared" si="333"/>
        <v>2710.5863999999983</v>
      </c>
      <c r="V210" s="58"/>
      <c r="W210" s="74">
        <f t="shared" ref="W210" si="334">L210-Q210</f>
        <v>-9.4294447269550052E-3</v>
      </c>
      <c r="X210" s="71">
        <f t="shared" si="324"/>
        <v>-9.4294447269550052E-3</v>
      </c>
    </row>
    <row r="211" spans="1:24" s="49" customFormat="1" ht="20.25" customHeight="1" x14ac:dyDescent="0.35">
      <c r="A211" s="50" t="s">
        <v>26</v>
      </c>
      <c r="B211" s="12"/>
      <c r="C211" s="12" t="str">
        <f>C210</f>
        <v>STOPWATCH</v>
      </c>
      <c r="D211" s="31"/>
      <c r="E211" s="101"/>
      <c r="F211" s="102"/>
      <c r="G211" s="102"/>
      <c r="H211" s="103"/>
      <c r="I211" s="104"/>
      <c r="J211" s="105"/>
      <c r="K211" s="105"/>
      <c r="L211" s="106"/>
      <c r="M211" s="57"/>
      <c r="N211" s="104"/>
      <c r="O211" s="105"/>
      <c r="P211" s="105"/>
      <c r="Q211" s="106"/>
      <c r="R211" s="58"/>
      <c r="S211" s="107"/>
      <c r="T211" s="108"/>
      <c r="U211" s="109"/>
      <c r="V211" s="58"/>
      <c r="W211" s="110"/>
      <c r="X211" s="75"/>
    </row>
    <row r="212" spans="1:24" ht="20.25" customHeight="1" x14ac:dyDescent="0.35">
      <c r="A212" s="12" t="s">
        <v>26</v>
      </c>
      <c r="B212" s="12"/>
      <c r="C212" s="12" t="str">
        <f>E212</f>
        <v>S-TROPHY</v>
      </c>
      <c r="D212" s="31"/>
      <c r="E212" s="32" t="str">
        <f>"S-TROPHY"</f>
        <v>S-TROPHY</v>
      </c>
      <c r="F212" s="33"/>
      <c r="G212" s="33"/>
      <c r="H212" s="33"/>
      <c r="I212" s="34"/>
      <c r="J212" s="31"/>
      <c r="K212" s="31"/>
      <c r="L212" s="35"/>
      <c r="N212" s="36"/>
      <c r="O212" s="33"/>
      <c r="P212" s="33"/>
      <c r="Q212" s="37"/>
      <c r="S212" s="64"/>
      <c r="T212" s="65"/>
      <c r="U212" s="66"/>
      <c r="W212" s="67"/>
      <c r="X212" s="66"/>
    </row>
    <row r="213" spans="1:24" ht="20.25" customHeight="1" x14ac:dyDescent="0.35">
      <c r="A213" s="12" t="s">
        <v>26</v>
      </c>
      <c r="B213" s="12"/>
      <c r="C213" s="12" t="str">
        <f>C212</f>
        <v>S-TROPHY</v>
      </c>
      <c r="D213" s="31"/>
      <c r="E213" s="38"/>
      <c r="F213" s="39" t="str">
        <f>"S200006"</f>
        <v>S200006</v>
      </c>
      <c r="G213" s="40" t="str">
        <f>"3.75"" Soccer Trophy"</f>
        <v>3.75" Soccer Trophy</v>
      </c>
      <c r="H213" s="41">
        <v>7.51</v>
      </c>
      <c r="I213" s="42">
        <v>192</v>
      </c>
      <c r="J213" s="43">
        <v>1876.8</v>
      </c>
      <c r="K213" s="43">
        <f>J213-(I213*H213)</f>
        <v>434.87999999999988</v>
      </c>
      <c r="L213" s="44">
        <f>IF(J213=0,0,K213/J213)</f>
        <v>0.23171355498721222</v>
      </c>
      <c r="M213" s="45"/>
      <c r="N213" s="42">
        <v>0</v>
      </c>
      <c r="O213" s="43">
        <v>0</v>
      </c>
      <c r="P213" s="43">
        <f t="shared" ref="P213" si="335">O213-(N213*$H213)</f>
        <v>0</v>
      </c>
      <c r="Q213" s="44">
        <f t="shared" ref="Q213" si="336">IF(O213=0,0,P213/O213)</f>
        <v>0</v>
      </c>
      <c r="S213" s="68">
        <f t="shared" ref="S213" si="337">I213-N213</f>
        <v>192</v>
      </c>
      <c r="T213" s="46">
        <f t="shared" ref="T213" si="338">J213-O213</f>
        <v>1876.8</v>
      </c>
      <c r="U213" s="69">
        <f t="shared" ref="U213" si="339">K213-P213</f>
        <v>434.87999999999988</v>
      </c>
      <c r="W213" s="70">
        <f t="shared" ref="W213" si="340">L213-Q213</f>
        <v>0.23171355498721222</v>
      </c>
      <c r="X213" s="71">
        <f t="shared" ref="X213:X234" si="341">W213</f>
        <v>0.23171355498721222</v>
      </c>
    </row>
    <row r="214" spans="1:24" ht="20.25" customHeight="1" x14ac:dyDescent="0.35">
      <c r="A214" s="12" t="s">
        <v>26</v>
      </c>
      <c r="B214" s="12"/>
      <c r="C214" s="12" t="str">
        <f>C213</f>
        <v>S-TROPHY</v>
      </c>
      <c r="D214" s="31"/>
      <c r="E214" s="38"/>
      <c r="F214" s="39" t="str">
        <f>"S200007"</f>
        <v>S200007</v>
      </c>
      <c r="G214" s="40" t="str">
        <f>"3.75"" Football Trophy"</f>
        <v>3.75" Football Trophy</v>
      </c>
      <c r="H214" s="41">
        <v>7.51</v>
      </c>
      <c r="I214" s="42">
        <v>576</v>
      </c>
      <c r="J214" s="43">
        <v>5630.4</v>
      </c>
      <c r="K214" s="43">
        <f>J214-(I214*H214)</f>
        <v>1304.6399999999994</v>
      </c>
      <c r="L214" s="44">
        <f>IF(J214=0,0,K214/J214)</f>
        <v>0.23171355498721219</v>
      </c>
      <c r="M214" s="45"/>
      <c r="N214" s="42">
        <v>0</v>
      </c>
      <c r="O214" s="43">
        <v>0</v>
      </c>
      <c r="P214" s="43">
        <f t="shared" ref="P214:P232" si="342">O214-(N214*$H214)</f>
        <v>0</v>
      </c>
      <c r="Q214" s="44">
        <f t="shared" ref="Q214:Q232" si="343">IF(O214=0,0,P214/O214)</f>
        <v>0</v>
      </c>
      <c r="S214" s="68">
        <f t="shared" ref="S214:S232" si="344">I214-N214</f>
        <v>576</v>
      </c>
      <c r="T214" s="46">
        <f t="shared" ref="T214:T232" si="345">J214-O214</f>
        <v>5630.4</v>
      </c>
      <c r="U214" s="69">
        <f t="shared" ref="U214:U232" si="346">K214-P214</f>
        <v>1304.6399999999994</v>
      </c>
      <c r="W214" s="70">
        <f t="shared" ref="W214:W232" si="347">L214-Q214</f>
        <v>0.23171355498721219</v>
      </c>
      <c r="X214" s="71">
        <f t="shared" si="341"/>
        <v>0.23171355498721219</v>
      </c>
    </row>
    <row r="215" spans="1:24" ht="20.25" customHeight="1" x14ac:dyDescent="0.35">
      <c r="A215" s="12" t="s">
        <v>26</v>
      </c>
      <c r="B215" s="12"/>
      <c r="C215" s="12" t="str">
        <f>C214</f>
        <v>S-TROPHY</v>
      </c>
      <c r="D215" s="31"/>
      <c r="E215" s="38"/>
      <c r="F215" s="39" t="str">
        <f>"S200008"</f>
        <v>S200008</v>
      </c>
      <c r="G215" s="40" t="str">
        <f>"3.75"" Basketball Trophy"</f>
        <v>3.75" Basketball Trophy</v>
      </c>
      <c r="H215" s="41">
        <v>7.51</v>
      </c>
      <c r="I215" s="42">
        <v>48</v>
      </c>
      <c r="J215" s="43">
        <v>470.4</v>
      </c>
      <c r="K215" s="43">
        <f>J215-(I215*H215)</f>
        <v>109.91999999999996</v>
      </c>
      <c r="L215" s="44">
        <f>IF(J215=0,0,K215/J215)</f>
        <v>0.23367346938775502</v>
      </c>
      <c r="M215" s="45"/>
      <c r="N215" s="42">
        <v>288</v>
      </c>
      <c r="O215" s="43">
        <v>2822.4</v>
      </c>
      <c r="P215" s="43">
        <f t="shared" si="342"/>
        <v>659.52</v>
      </c>
      <c r="Q215" s="44">
        <f t="shared" si="343"/>
        <v>0.2336734693877551</v>
      </c>
      <c r="S215" s="68">
        <f t="shared" si="344"/>
        <v>-240</v>
      </c>
      <c r="T215" s="46">
        <f t="shared" si="345"/>
        <v>-2352</v>
      </c>
      <c r="U215" s="69">
        <f t="shared" si="346"/>
        <v>-549.6</v>
      </c>
      <c r="W215" s="70">
        <f t="shared" si="347"/>
        <v>0</v>
      </c>
      <c r="X215" s="71">
        <f t="shared" si="341"/>
        <v>0</v>
      </c>
    </row>
    <row r="216" spans="1:24" ht="20.25" customHeight="1" x14ac:dyDescent="0.35">
      <c r="A216" s="12" t="s">
        <v>26</v>
      </c>
      <c r="B216" s="12"/>
      <c r="C216" s="12" t="str">
        <f>C215</f>
        <v>S-TROPHY</v>
      </c>
      <c r="D216" s="31"/>
      <c r="E216" s="38"/>
      <c r="F216" s="39" t="str">
        <f>"S200009"</f>
        <v>S200009</v>
      </c>
      <c r="G216" s="40" t="str">
        <f>"3.75"" Volleyball Trophy"</f>
        <v>3.75" Volleyball Trophy</v>
      </c>
      <c r="H216" s="41">
        <v>7.51</v>
      </c>
      <c r="I216" s="42">
        <v>0</v>
      </c>
      <c r="J216" s="43">
        <v>0</v>
      </c>
      <c r="K216" s="43">
        <f>J216-(I216*H216)</f>
        <v>0</v>
      </c>
      <c r="L216" s="44">
        <f>IF(J216=0,0,K216/J216)</f>
        <v>0</v>
      </c>
      <c r="M216" s="45"/>
      <c r="N216" s="42">
        <v>48</v>
      </c>
      <c r="O216" s="43">
        <v>470.4</v>
      </c>
      <c r="P216" s="43">
        <f t="shared" si="342"/>
        <v>109.91999999999996</v>
      </c>
      <c r="Q216" s="44">
        <f t="shared" si="343"/>
        <v>0.23367346938775502</v>
      </c>
      <c r="S216" s="68">
        <f t="shared" si="344"/>
        <v>-48</v>
      </c>
      <c r="T216" s="46">
        <f t="shared" si="345"/>
        <v>-470.4</v>
      </c>
      <c r="U216" s="69">
        <f t="shared" si="346"/>
        <v>-109.91999999999996</v>
      </c>
      <c r="W216" s="70">
        <f t="shared" si="347"/>
        <v>-0.23367346938775502</v>
      </c>
      <c r="X216" s="71">
        <f t="shared" si="341"/>
        <v>-0.23367346938775502</v>
      </c>
    </row>
    <row r="217" spans="1:24" ht="20.25" customHeight="1" x14ac:dyDescent="0.35">
      <c r="A217" s="12" t="s">
        <v>26</v>
      </c>
      <c r="B217" s="12"/>
      <c r="C217" s="12" t="str">
        <f>C216</f>
        <v>S-TROPHY</v>
      </c>
      <c r="D217" s="31"/>
      <c r="E217" s="38"/>
      <c r="F217" s="39" t="str">
        <f>"S200010"</f>
        <v>S200010</v>
      </c>
      <c r="G217" s="40" t="str">
        <f>"3.75"" Wrestling Trophy"</f>
        <v>3.75" Wrestling Trophy</v>
      </c>
      <c r="H217" s="41">
        <v>7.51</v>
      </c>
      <c r="I217" s="42">
        <v>144</v>
      </c>
      <c r="J217" s="43">
        <v>1411.2</v>
      </c>
      <c r="K217" s="43">
        <f>J217-(I217*H217)</f>
        <v>329.76</v>
      </c>
      <c r="L217" s="44">
        <f>IF(J217=0,0,K217/J217)</f>
        <v>0.2336734693877551</v>
      </c>
      <c r="M217" s="45"/>
      <c r="N217" s="42">
        <v>289</v>
      </c>
      <c r="O217" s="43">
        <v>2817.7999999999997</v>
      </c>
      <c r="P217" s="43">
        <f t="shared" si="342"/>
        <v>647.40999999999985</v>
      </c>
      <c r="Q217" s="44">
        <f t="shared" si="343"/>
        <v>0.22975725743487824</v>
      </c>
      <c r="S217" s="68">
        <f t="shared" si="344"/>
        <v>-145</v>
      </c>
      <c r="T217" s="46">
        <f t="shared" si="345"/>
        <v>-1406.5999999999997</v>
      </c>
      <c r="U217" s="69">
        <f t="shared" si="346"/>
        <v>-317.64999999999986</v>
      </c>
      <c r="W217" s="70">
        <f t="shared" si="347"/>
        <v>3.9162119528768635E-3</v>
      </c>
      <c r="X217" s="71">
        <f t="shared" si="341"/>
        <v>3.9162119528768635E-3</v>
      </c>
    </row>
    <row r="218" spans="1:24" ht="20.25" customHeight="1" x14ac:dyDescent="0.35">
      <c r="A218" s="12" t="s">
        <v>26</v>
      </c>
      <c r="B218" s="12"/>
      <c r="C218" s="12" t="str">
        <f>C217</f>
        <v>S-TROPHY</v>
      </c>
      <c r="D218" s="31"/>
      <c r="E218" s="38"/>
      <c r="F218" s="39" t="str">
        <f>"S200013"</f>
        <v>S200013</v>
      </c>
      <c r="G218" s="40" t="str">
        <f>"10.75"" Star Riser Soccer Trophy"</f>
        <v>10.75" Star Riser Soccer Trophy</v>
      </c>
      <c r="H218" s="41">
        <v>9.93</v>
      </c>
      <c r="I218" s="42">
        <v>49</v>
      </c>
      <c r="J218" s="43">
        <v>600.25</v>
      </c>
      <c r="K218" s="43">
        <f>J218-(I218*H218)</f>
        <v>113.68</v>
      </c>
      <c r="L218" s="44">
        <f>IF(J218=0,0,K218/J218)</f>
        <v>0.18938775510204084</v>
      </c>
      <c r="M218" s="45"/>
      <c r="N218" s="42">
        <v>0</v>
      </c>
      <c r="O218" s="43">
        <v>0</v>
      </c>
      <c r="P218" s="43">
        <f t="shared" si="342"/>
        <v>0</v>
      </c>
      <c r="Q218" s="44">
        <f t="shared" si="343"/>
        <v>0</v>
      </c>
      <c r="S218" s="68">
        <f t="shared" si="344"/>
        <v>49</v>
      </c>
      <c r="T218" s="46">
        <f t="shared" si="345"/>
        <v>600.25</v>
      </c>
      <c r="U218" s="69">
        <f t="shared" si="346"/>
        <v>113.68</v>
      </c>
      <c r="W218" s="70">
        <f t="shared" si="347"/>
        <v>0.18938775510204084</v>
      </c>
      <c r="X218" s="71">
        <f t="shared" si="341"/>
        <v>0.18938775510204084</v>
      </c>
    </row>
    <row r="219" spans="1:24" ht="20.25" customHeight="1" x14ac:dyDescent="0.35">
      <c r="A219" s="12" t="s">
        <v>26</v>
      </c>
      <c r="B219" s="12"/>
      <c r="C219" s="12" t="str">
        <f>C218</f>
        <v>S-TROPHY</v>
      </c>
      <c r="D219" s="31"/>
      <c r="E219" s="38"/>
      <c r="F219" s="39" t="str">
        <f>"S200014"</f>
        <v>S200014</v>
      </c>
      <c r="G219" s="40" t="str">
        <f>"10.75"" Star Riser FootballTrophy"</f>
        <v>10.75" Star Riser FootballTrophy</v>
      </c>
      <c r="H219" s="41">
        <v>9.93</v>
      </c>
      <c r="I219" s="42">
        <v>12</v>
      </c>
      <c r="J219" s="43">
        <v>147</v>
      </c>
      <c r="K219" s="43">
        <f>J219-(I219*H219)</f>
        <v>27.840000000000003</v>
      </c>
      <c r="L219" s="44">
        <f>IF(J219=0,0,K219/J219)</f>
        <v>0.18938775510204084</v>
      </c>
      <c r="M219" s="45"/>
      <c r="N219" s="42">
        <v>168</v>
      </c>
      <c r="O219" s="43">
        <v>2058</v>
      </c>
      <c r="P219" s="43">
        <f t="shared" si="342"/>
        <v>389.76</v>
      </c>
      <c r="Q219" s="44">
        <f t="shared" si="343"/>
        <v>0.18938775510204081</v>
      </c>
      <c r="S219" s="68">
        <f t="shared" si="344"/>
        <v>-156</v>
      </c>
      <c r="T219" s="46">
        <f t="shared" si="345"/>
        <v>-1911</v>
      </c>
      <c r="U219" s="69">
        <f t="shared" si="346"/>
        <v>-361.91999999999996</v>
      </c>
      <c r="W219" s="70">
        <f t="shared" si="347"/>
        <v>0</v>
      </c>
      <c r="X219" s="71">
        <f t="shared" si="341"/>
        <v>0</v>
      </c>
    </row>
    <row r="220" spans="1:24" ht="20.25" customHeight="1" x14ac:dyDescent="0.35">
      <c r="A220" s="12" t="s">
        <v>26</v>
      </c>
      <c r="B220" s="12"/>
      <c r="C220" s="12" t="str">
        <f>C219</f>
        <v>S-TROPHY</v>
      </c>
      <c r="D220" s="31"/>
      <c r="E220" s="38"/>
      <c r="F220" s="39" t="str">
        <f>"S200015"</f>
        <v>S200015</v>
      </c>
      <c r="G220" s="40" t="str">
        <f>"10.75"" Star Riser Basketball Trophy"</f>
        <v>10.75" Star Riser Basketball Trophy</v>
      </c>
      <c r="H220" s="41">
        <v>9.93</v>
      </c>
      <c r="I220" s="42">
        <v>192</v>
      </c>
      <c r="J220" s="43">
        <v>2334</v>
      </c>
      <c r="K220" s="43">
        <f>J220-(I220*H220)</f>
        <v>427.44000000000005</v>
      </c>
      <c r="L220" s="44">
        <f>IF(J220=0,0,K220/J220)</f>
        <v>0.1831362467866324</v>
      </c>
      <c r="M220" s="45"/>
      <c r="N220" s="42">
        <v>1</v>
      </c>
      <c r="O220" s="43">
        <v>12.25</v>
      </c>
      <c r="P220" s="43">
        <f t="shared" si="342"/>
        <v>2.3200000000000003</v>
      </c>
      <c r="Q220" s="44">
        <f t="shared" si="343"/>
        <v>0.18938775510204084</v>
      </c>
      <c r="S220" s="68">
        <f t="shared" si="344"/>
        <v>191</v>
      </c>
      <c r="T220" s="46">
        <f t="shared" si="345"/>
        <v>2321.75</v>
      </c>
      <c r="U220" s="69">
        <f t="shared" si="346"/>
        <v>425.12000000000006</v>
      </c>
      <c r="W220" s="70">
        <f t="shared" si="347"/>
        <v>-6.2515083154084383E-3</v>
      </c>
      <c r="X220" s="71">
        <f t="shared" si="341"/>
        <v>-6.2515083154084383E-3</v>
      </c>
    </row>
    <row r="221" spans="1:24" ht="20.25" customHeight="1" x14ac:dyDescent="0.35">
      <c r="A221" s="12" t="s">
        <v>26</v>
      </c>
      <c r="B221" s="12"/>
      <c r="C221" s="12" t="str">
        <f>C220</f>
        <v>S-TROPHY</v>
      </c>
      <c r="D221" s="31"/>
      <c r="E221" s="38"/>
      <c r="F221" s="39" t="str">
        <f>"S200016"</f>
        <v>S200016</v>
      </c>
      <c r="G221" s="40" t="str">
        <f>"10.75"" Star Riser Volleyball Trophy"</f>
        <v>10.75" Star Riser Volleyball Trophy</v>
      </c>
      <c r="H221" s="41">
        <v>9.93</v>
      </c>
      <c r="I221" s="42">
        <v>145</v>
      </c>
      <c r="J221" s="43">
        <v>1740.25</v>
      </c>
      <c r="K221" s="43">
        <f>J221-(I221*H221)</f>
        <v>300.40000000000009</v>
      </c>
      <c r="L221" s="44">
        <f>IF(J221=0,0,K221/J221)</f>
        <v>0.17261887659818997</v>
      </c>
      <c r="M221" s="45"/>
      <c r="N221" s="42">
        <v>0</v>
      </c>
      <c r="O221" s="43">
        <v>0</v>
      </c>
      <c r="P221" s="43">
        <f t="shared" si="342"/>
        <v>0</v>
      </c>
      <c r="Q221" s="44">
        <f t="shared" si="343"/>
        <v>0</v>
      </c>
      <c r="S221" s="68">
        <f t="shared" si="344"/>
        <v>145</v>
      </c>
      <c r="T221" s="46">
        <f t="shared" si="345"/>
        <v>1740.25</v>
      </c>
      <c r="U221" s="69">
        <f t="shared" si="346"/>
        <v>300.40000000000009</v>
      </c>
      <c r="W221" s="70">
        <f t="shared" si="347"/>
        <v>0.17261887659818997</v>
      </c>
      <c r="X221" s="71">
        <f t="shared" si="341"/>
        <v>0.17261887659818997</v>
      </c>
    </row>
    <row r="222" spans="1:24" ht="20.25" customHeight="1" x14ac:dyDescent="0.35">
      <c r="A222" s="12" t="s">
        <v>26</v>
      </c>
      <c r="B222" s="12"/>
      <c r="C222" s="12" t="str">
        <f>C221</f>
        <v>S-TROPHY</v>
      </c>
      <c r="D222" s="31"/>
      <c r="E222" s="38"/>
      <c r="F222" s="39" t="str">
        <f>"S200017"</f>
        <v>S200017</v>
      </c>
      <c r="G222" s="40" t="str">
        <f>"10.75"" Tourch Riser WrestlingTrophy"</f>
        <v>10.75" Tourch Riser WrestlingTrophy</v>
      </c>
      <c r="H222" s="41">
        <v>9.93</v>
      </c>
      <c r="I222" s="42">
        <v>288</v>
      </c>
      <c r="J222" s="43">
        <v>3509.9999999999995</v>
      </c>
      <c r="K222" s="43">
        <f>J222-(I222*H222)</f>
        <v>650.1599999999994</v>
      </c>
      <c r="L222" s="44">
        <f>IF(J222=0,0,K222/J222)</f>
        <v>0.18523076923076909</v>
      </c>
      <c r="M222" s="45"/>
      <c r="N222" s="42">
        <v>60</v>
      </c>
      <c r="O222" s="43">
        <v>735</v>
      </c>
      <c r="P222" s="43">
        <f t="shared" si="342"/>
        <v>139.20000000000005</v>
      </c>
      <c r="Q222" s="44">
        <f t="shared" si="343"/>
        <v>0.18938775510204087</v>
      </c>
      <c r="S222" s="68">
        <f t="shared" si="344"/>
        <v>228</v>
      </c>
      <c r="T222" s="46">
        <f t="shared" si="345"/>
        <v>2774.9999999999995</v>
      </c>
      <c r="U222" s="69">
        <f t="shared" si="346"/>
        <v>510.95999999999935</v>
      </c>
      <c r="W222" s="70">
        <f t="shared" si="347"/>
        <v>-4.1569858712717789E-3</v>
      </c>
      <c r="X222" s="71">
        <f t="shared" si="341"/>
        <v>-4.1569858712717789E-3</v>
      </c>
    </row>
    <row r="223" spans="1:24" ht="20.25" customHeight="1" x14ac:dyDescent="0.35">
      <c r="A223" s="12" t="s">
        <v>26</v>
      </c>
      <c r="B223" s="12"/>
      <c r="C223" s="12" t="str">
        <f>C222</f>
        <v>S-TROPHY</v>
      </c>
      <c r="D223" s="31"/>
      <c r="E223" s="38"/>
      <c r="F223" s="39" t="str">
        <f>"S200020"</f>
        <v>S200020</v>
      </c>
      <c r="G223" s="40" t="str">
        <f>"10.75"" Tourch Riser Soccer Trophy"</f>
        <v>10.75" Tourch Riser Soccer Trophy</v>
      </c>
      <c r="H223" s="41">
        <v>10.28</v>
      </c>
      <c r="I223" s="42">
        <v>198.00000000000003</v>
      </c>
      <c r="J223" s="43">
        <v>2425.75</v>
      </c>
      <c r="K223" s="43">
        <f>J223-(I223*H223)</f>
        <v>390.30999999999995</v>
      </c>
      <c r="L223" s="44">
        <f>IF(J223=0,0,K223/J223)</f>
        <v>0.16090281356281561</v>
      </c>
      <c r="M223" s="45"/>
      <c r="N223" s="42">
        <v>48</v>
      </c>
      <c r="O223" s="43">
        <v>588</v>
      </c>
      <c r="P223" s="43">
        <f t="shared" si="342"/>
        <v>94.560000000000059</v>
      </c>
      <c r="Q223" s="44">
        <f t="shared" si="343"/>
        <v>0.16081632653061234</v>
      </c>
      <c r="S223" s="68">
        <f t="shared" si="344"/>
        <v>150.00000000000003</v>
      </c>
      <c r="T223" s="46">
        <f t="shared" si="345"/>
        <v>1837.75</v>
      </c>
      <c r="U223" s="69">
        <f t="shared" si="346"/>
        <v>295.74999999999989</v>
      </c>
      <c r="W223" s="70">
        <f t="shared" si="347"/>
        <v>8.6487032203264036E-5</v>
      </c>
      <c r="X223" s="71">
        <f t="shared" si="341"/>
        <v>8.6487032203264036E-5</v>
      </c>
    </row>
    <row r="224" spans="1:24" ht="20.25" customHeight="1" x14ac:dyDescent="0.35">
      <c r="A224" s="12" t="s">
        <v>26</v>
      </c>
      <c r="B224" s="12"/>
      <c r="C224" s="12" t="str">
        <f>C223</f>
        <v>S-TROPHY</v>
      </c>
      <c r="D224" s="31"/>
      <c r="E224" s="38"/>
      <c r="F224" s="39" t="str">
        <f>"S200021"</f>
        <v>S200021</v>
      </c>
      <c r="G224" s="40" t="str">
        <f>"10.75"" Tourch Riser FootballTrophy"</f>
        <v>10.75" Tourch Riser FootballTrophy</v>
      </c>
      <c r="H224" s="41">
        <v>10.28</v>
      </c>
      <c r="I224" s="42">
        <v>144</v>
      </c>
      <c r="J224" s="43">
        <v>1764</v>
      </c>
      <c r="K224" s="43">
        <f>J224-(I224*H224)</f>
        <v>283.68000000000006</v>
      </c>
      <c r="L224" s="44">
        <f>IF(J224=0,0,K224/J224)</f>
        <v>0.16081632653061229</v>
      </c>
      <c r="M224" s="45"/>
      <c r="N224" s="42">
        <v>48</v>
      </c>
      <c r="O224" s="43">
        <v>588</v>
      </c>
      <c r="P224" s="43">
        <f t="shared" si="342"/>
        <v>94.560000000000059</v>
      </c>
      <c r="Q224" s="44">
        <f t="shared" si="343"/>
        <v>0.16081632653061234</v>
      </c>
      <c r="S224" s="68">
        <f t="shared" si="344"/>
        <v>96</v>
      </c>
      <c r="T224" s="46">
        <f t="shared" si="345"/>
        <v>1176</v>
      </c>
      <c r="U224" s="69">
        <f t="shared" si="346"/>
        <v>189.12</v>
      </c>
      <c r="W224" s="70">
        <f t="shared" si="347"/>
        <v>0</v>
      </c>
      <c r="X224" s="71">
        <f t="shared" si="341"/>
        <v>0</v>
      </c>
    </row>
    <row r="225" spans="1:24" ht="20.25" customHeight="1" x14ac:dyDescent="0.35">
      <c r="A225" s="12" t="s">
        <v>26</v>
      </c>
      <c r="B225" s="12"/>
      <c r="C225" s="12" t="str">
        <f>C224</f>
        <v>S-TROPHY</v>
      </c>
      <c r="D225" s="31"/>
      <c r="E225" s="38"/>
      <c r="F225" s="39" t="str">
        <f>"S200022"</f>
        <v>S200022</v>
      </c>
      <c r="G225" s="40" t="str">
        <f>"10.75"" Tourch Riser Basketball Trophy"</f>
        <v>10.75" Tourch Riser Basketball Trophy</v>
      </c>
      <c r="H225" s="41">
        <v>10.28</v>
      </c>
      <c r="I225" s="42">
        <v>144</v>
      </c>
      <c r="J225" s="43">
        <v>1764</v>
      </c>
      <c r="K225" s="43">
        <f>J225-(I225*H225)</f>
        <v>283.68000000000006</v>
      </c>
      <c r="L225" s="44">
        <f>IF(J225=0,0,K225/J225)</f>
        <v>0.16081632653061229</v>
      </c>
      <c r="M225" s="45"/>
      <c r="N225" s="42">
        <v>216</v>
      </c>
      <c r="O225" s="43">
        <v>2628</v>
      </c>
      <c r="P225" s="43">
        <f t="shared" si="342"/>
        <v>407.52</v>
      </c>
      <c r="Q225" s="44">
        <f t="shared" si="343"/>
        <v>0.15506849315068494</v>
      </c>
      <c r="S225" s="68">
        <f t="shared" si="344"/>
        <v>-72</v>
      </c>
      <c r="T225" s="46">
        <f t="shared" si="345"/>
        <v>-864</v>
      </c>
      <c r="U225" s="69">
        <f t="shared" si="346"/>
        <v>-123.83999999999992</v>
      </c>
      <c r="W225" s="70">
        <f t="shared" si="347"/>
        <v>5.7478333799273473E-3</v>
      </c>
      <c r="X225" s="71">
        <f t="shared" si="341"/>
        <v>5.7478333799273473E-3</v>
      </c>
    </row>
    <row r="226" spans="1:24" ht="20.25" customHeight="1" x14ac:dyDescent="0.35">
      <c r="A226" s="12" t="s">
        <v>26</v>
      </c>
      <c r="B226" s="12"/>
      <c r="C226" s="12" t="str">
        <f>C225</f>
        <v>S-TROPHY</v>
      </c>
      <c r="D226" s="31"/>
      <c r="E226" s="38"/>
      <c r="F226" s="39" t="str">
        <f>"S200023"</f>
        <v>S200023</v>
      </c>
      <c r="G226" s="40" t="str">
        <f>"10.75"" Tourch Riser Volleyball Trophy"</f>
        <v>10.75" Tourch Riser Volleyball Trophy</v>
      </c>
      <c r="H226" s="41">
        <v>10.28</v>
      </c>
      <c r="I226" s="42">
        <v>0</v>
      </c>
      <c r="J226" s="43">
        <v>0</v>
      </c>
      <c r="K226" s="43">
        <f>J226-(I226*H226)</f>
        <v>0</v>
      </c>
      <c r="L226" s="44">
        <f>IF(J226=0,0,K226/J226)</f>
        <v>0</v>
      </c>
      <c r="M226" s="45"/>
      <c r="N226" s="42">
        <v>336</v>
      </c>
      <c r="O226" s="43">
        <v>4116</v>
      </c>
      <c r="P226" s="43">
        <f t="shared" si="342"/>
        <v>661.92000000000007</v>
      </c>
      <c r="Q226" s="44">
        <f t="shared" si="343"/>
        <v>0.16081632653061226</v>
      </c>
      <c r="S226" s="68">
        <f t="shared" si="344"/>
        <v>-336</v>
      </c>
      <c r="T226" s="46">
        <f t="shared" si="345"/>
        <v>-4116</v>
      </c>
      <c r="U226" s="69">
        <f t="shared" si="346"/>
        <v>-661.92000000000007</v>
      </c>
      <c r="W226" s="70">
        <f t="shared" si="347"/>
        <v>-0.16081632653061226</v>
      </c>
      <c r="X226" s="71">
        <f t="shared" si="341"/>
        <v>-0.16081632653061226</v>
      </c>
    </row>
    <row r="227" spans="1:24" ht="20.25" customHeight="1" x14ac:dyDescent="0.35">
      <c r="A227" s="12" t="s">
        <v>26</v>
      </c>
      <c r="B227" s="12"/>
      <c r="C227" s="12" t="str">
        <f>C226</f>
        <v>S-TROPHY</v>
      </c>
      <c r="D227" s="31"/>
      <c r="E227" s="38"/>
      <c r="F227" s="39" t="str">
        <f>"S200024"</f>
        <v>S200024</v>
      </c>
      <c r="G227" s="40" t="str">
        <f>"10.75"" Tourch Riser Wrestling Trophy"</f>
        <v>10.75" Tourch Riser Wrestling Trophy</v>
      </c>
      <c r="H227" s="41">
        <v>10.28</v>
      </c>
      <c r="I227" s="42">
        <v>144</v>
      </c>
      <c r="J227" s="43">
        <v>1764</v>
      </c>
      <c r="K227" s="43">
        <f>J227-(I227*H227)</f>
        <v>283.68000000000006</v>
      </c>
      <c r="L227" s="44">
        <f>IF(J227=0,0,K227/J227)</f>
        <v>0.16081632653061229</v>
      </c>
      <c r="M227" s="45"/>
      <c r="N227" s="42">
        <v>18</v>
      </c>
      <c r="O227" s="43">
        <v>220.5</v>
      </c>
      <c r="P227" s="43">
        <f t="shared" si="342"/>
        <v>35.460000000000008</v>
      </c>
      <c r="Q227" s="44">
        <f t="shared" si="343"/>
        <v>0.16081632653061229</v>
      </c>
      <c r="S227" s="68">
        <f t="shared" si="344"/>
        <v>126</v>
      </c>
      <c r="T227" s="46">
        <f t="shared" si="345"/>
        <v>1543.5</v>
      </c>
      <c r="U227" s="69">
        <f t="shared" si="346"/>
        <v>248.22000000000006</v>
      </c>
      <c r="W227" s="70">
        <f t="shared" si="347"/>
        <v>0</v>
      </c>
      <c r="X227" s="71">
        <f t="shared" si="341"/>
        <v>0</v>
      </c>
    </row>
    <row r="228" spans="1:24" ht="20.25" customHeight="1" x14ac:dyDescent="0.35">
      <c r="A228" s="12" t="s">
        <v>26</v>
      </c>
      <c r="B228" s="12"/>
      <c r="C228" s="12" t="str">
        <f>C227</f>
        <v>S-TROPHY</v>
      </c>
      <c r="D228" s="31"/>
      <c r="E228" s="38"/>
      <c r="F228" s="39" t="str">
        <f>"S200027"</f>
        <v>S200027</v>
      </c>
      <c r="G228" s="40" t="str">
        <f>"10.75"" Column Soccer Trophy"</f>
        <v>10.75" Column Soccer Trophy</v>
      </c>
      <c r="H228" s="41">
        <v>10.75</v>
      </c>
      <c r="I228" s="42">
        <v>0</v>
      </c>
      <c r="J228" s="43">
        <v>0</v>
      </c>
      <c r="K228" s="43">
        <f>J228-(I228*H228)</f>
        <v>0</v>
      </c>
      <c r="L228" s="44">
        <f>IF(J228=0,0,K228/J228)</f>
        <v>0</v>
      </c>
      <c r="M228" s="45"/>
      <c r="N228" s="42">
        <v>144</v>
      </c>
      <c r="O228" s="43">
        <v>2095.1999999999998</v>
      </c>
      <c r="P228" s="43">
        <f t="shared" si="342"/>
        <v>547.19999999999982</v>
      </c>
      <c r="Q228" s="44">
        <f t="shared" si="343"/>
        <v>0.26116838487972505</v>
      </c>
      <c r="S228" s="68">
        <f t="shared" si="344"/>
        <v>-144</v>
      </c>
      <c r="T228" s="46">
        <f t="shared" si="345"/>
        <v>-2095.1999999999998</v>
      </c>
      <c r="U228" s="69">
        <f t="shared" si="346"/>
        <v>-547.19999999999982</v>
      </c>
      <c r="W228" s="70">
        <f t="shared" si="347"/>
        <v>-0.26116838487972505</v>
      </c>
      <c r="X228" s="71">
        <f t="shared" si="341"/>
        <v>-0.26116838487972505</v>
      </c>
    </row>
    <row r="229" spans="1:24" ht="20.25" customHeight="1" x14ac:dyDescent="0.35">
      <c r="A229" s="12" t="s">
        <v>26</v>
      </c>
      <c r="B229" s="12"/>
      <c r="C229" s="12" t="str">
        <f>C228</f>
        <v>S-TROPHY</v>
      </c>
      <c r="D229" s="31"/>
      <c r="E229" s="38"/>
      <c r="F229" s="39" t="str">
        <f>"S200028"</f>
        <v>S200028</v>
      </c>
      <c r="G229" s="40" t="str">
        <f>"10.75"" Column Football Trophy"</f>
        <v>10.75" Column Football Trophy</v>
      </c>
      <c r="H229" s="41">
        <v>10.75</v>
      </c>
      <c r="I229" s="42">
        <v>1</v>
      </c>
      <c r="J229" s="43">
        <v>14.7</v>
      </c>
      <c r="K229" s="43">
        <f>J229-(I229*H229)</f>
        <v>3.9499999999999993</v>
      </c>
      <c r="L229" s="44">
        <f>IF(J229=0,0,K229/J229)</f>
        <v>0.26870748299319724</v>
      </c>
      <c r="M229" s="45"/>
      <c r="N229" s="42">
        <v>0</v>
      </c>
      <c r="O229" s="43">
        <v>0</v>
      </c>
      <c r="P229" s="43">
        <f t="shared" si="342"/>
        <v>0</v>
      </c>
      <c r="Q229" s="44">
        <f t="shared" si="343"/>
        <v>0</v>
      </c>
      <c r="S229" s="68">
        <f t="shared" si="344"/>
        <v>1</v>
      </c>
      <c r="T229" s="46">
        <f t="shared" si="345"/>
        <v>14.7</v>
      </c>
      <c r="U229" s="69">
        <f t="shared" si="346"/>
        <v>3.9499999999999993</v>
      </c>
      <c r="W229" s="70">
        <f t="shared" si="347"/>
        <v>0.26870748299319724</v>
      </c>
      <c r="X229" s="71">
        <f t="shared" si="341"/>
        <v>0.26870748299319724</v>
      </c>
    </row>
    <row r="230" spans="1:24" ht="20.25" customHeight="1" x14ac:dyDescent="0.35">
      <c r="A230" s="12" t="s">
        <v>26</v>
      </c>
      <c r="B230" s="12"/>
      <c r="C230" s="12" t="str">
        <f>C229</f>
        <v>S-TROPHY</v>
      </c>
      <c r="D230" s="31"/>
      <c r="E230" s="38"/>
      <c r="F230" s="39" t="str">
        <f>"S200029"</f>
        <v>S200029</v>
      </c>
      <c r="G230" s="40" t="str">
        <f>"10.75"" Column Basketball Trophy"</f>
        <v>10.75" Column Basketball Trophy</v>
      </c>
      <c r="H230" s="41">
        <v>10.75</v>
      </c>
      <c r="I230" s="42">
        <v>-6</v>
      </c>
      <c r="J230" s="43">
        <v>-86.4</v>
      </c>
      <c r="K230" s="43">
        <f>J230-(I230*H230)</f>
        <v>-21.900000000000006</v>
      </c>
      <c r="L230" s="44">
        <f>IF(J230=0,0,K230/J230)</f>
        <v>0.25347222222222227</v>
      </c>
      <c r="M230" s="45"/>
      <c r="N230" s="42">
        <v>0</v>
      </c>
      <c r="O230" s="43">
        <v>0</v>
      </c>
      <c r="P230" s="43">
        <f t="shared" si="342"/>
        <v>0</v>
      </c>
      <c r="Q230" s="44">
        <f t="shared" si="343"/>
        <v>0</v>
      </c>
      <c r="S230" s="68">
        <f t="shared" si="344"/>
        <v>-6</v>
      </c>
      <c r="T230" s="46">
        <f t="shared" si="345"/>
        <v>-86.4</v>
      </c>
      <c r="U230" s="69">
        <f t="shared" si="346"/>
        <v>-21.900000000000006</v>
      </c>
      <c r="W230" s="70">
        <f t="shared" si="347"/>
        <v>0.25347222222222227</v>
      </c>
      <c r="X230" s="71">
        <f t="shared" si="341"/>
        <v>0.25347222222222227</v>
      </c>
    </row>
    <row r="231" spans="1:24" ht="20.25" customHeight="1" x14ac:dyDescent="0.35">
      <c r="A231" s="12" t="s">
        <v>26</v>
      </c>
      <c r="B231" s="12"/>
      <c r="C231" s="12" t="str">
        <f>C230</f>
        <v>S-TROPHY</v>
      </c>
      <c r="D231" s="31"/>
      <c r="E231" s="38"/>
      <c r="F231" s="39" t="str">
        <f>"S200030"</f>
        <v>S200030</v>
      </c>
      <c r="G231" s="40" t="str">
        <f>"10.75"" Column Volleyball Trophy"</f>
        <v>10.75" Column Volleyball Trophy</v>
      </c>
      <c r="H231" s="41">
        <v>10.75</v>
      </c>
      <c r="I231" s="42">
        <v>1</v>
      </c>
      <c r="J231" s="43">
        <v>14.7</v>
      </c>
      <c r="K231" s="43">
        <f>J231-(I231*H231)</f>
        <v>3.9499999999999993</v>
      </c>
      <c r="L231" s="44">
        <f>IF(J231=0,0,K231/J231)</f>
        <v>0.26870748299319724</v>
      </c>
      <c r="M231" s="45"/>
      <c r="N231" s="42">
        <v>289</v>
      </c>
      <c r="O231" s="43">
        <v>4248.3</v>
      </c>
      <c r="P231" s="43">
        <f t="shared" si="342"/>
        <v>1141.5500000000002</v>
      </c>
      <c r="Q231" s="44">
        <f t="shared" si="343"/>
        <v>0.2687074829931973</v>
      </c>
      <c r="S231" s="68">
        <f t="shared" si="344"/>
        <v>-288</v>
      </c>
      <c r="T231" s="46">
        <f t="shared" si="345"/>
        <v>-4233.6000000000004</v>
      </c>
      <c r="U231" s="69">
        <f t="shared" si="346"/>
        <v>-1137.6000000000001</v>
      </c>
      <c r="W231" s="70">
        <f t="shared" si="347"/>
        <v>0</v>
      </c>
      <c r="X231" s="71">
        <f t="shared" si="341"/>
        <v>0</v>
      </c>
    </row>
    <row r="232" spans="1:24" ht="20.25" customHeight="1" x14ac:dyDescent="0.35">
      <c r="A232" s="12" t="s">
        <v>26</v>
      </c>
      <c r="B232" s="12"/>
      <c r="C232" s="12" t="str">
        <f>C231</f>
        <v>S-TROPHY</v>
      </c>
      <c r="D232" s="31"/>
      <c r="E232" s="38"/>
      <c r="F232" s="39" t="str">
        <f>"S200031"</f>
        <v>S200031</v>
      </c>
      <c r="G232" s="40" t="str">
        <f>"10.75"" Column Wrestling Trophy"</f>
        <v>10.75" Column Wrestling Trophy</v>
      </c>
      <c r="H232" s="41">
        <v>10.75</v>
      </c>
      <c r="I232" s="42">
        <v>144</v>
      </c>
      <c r="J232" s="43">
        <v>2073.6</v>
      </c>
      <c r="K232" s="43">
        <f>J232-(I232*H232)</f>
        <v>525.59999999999991</v>
      </c>
      <c r="L232" s="44">
        <f>IF(J232=0,0,K232/J232)</f>
        <v>0.25347222222222221</v>
      </c>
      <c r="M232" s="45"/>
      <c r="N232" s="42">
        <v>48</v>
      </c>
      <c r="O232" s="43">
        <v>705.6</v>
      </c>
      <c r="P232" s="43">
        <f t="shared" si="342"/>
        <v>189.60000000000002</v>
      </c>
      <c r="Q232" s="44">
        <f t="shared" si="343"/>
        <v>0.2687074829931973</v>
      </c>
      <c r="S232" s="68">
        <f t="shared" si="344"/>
        <v>96</v>
      </c>
      <c r="T232" s="46">
        <f t="shared" si="345"/>
        <v>1368</v>
      </c>
      <c r="U232" s="69">
        <f t="shared" si="346"/>
        <v>335.99999999999989</v>
      </c>
      <c r="W232" s="70">
        <f t="shared" si="347"/>
        <v>-1.523526077097509E-2</v>
      </c>
      <c r="X232" s="71">
        <f t="shared" si="341"/>
        <v>-1.523526077097509E-2</v>
      </c>
    </row>
    <row r="233" spans="1:24" ht="17.25" customHeight="1" x14ac:dyDescent="0.3">
      <c r="A233" s="12" t="s">
        <v>26</v>
      </c>
      <c r="B233" s="12"/>
      <c r="C233" s="12" t="str">
        <f>C213</f>
        <v>S-TROPHY</v>
      </c>
      <c r="D233" s="31"/>
      <c r="E233" s="38"/>
      <c r="F233" s="31"/>
      <c r="G233" s="31"/>
      <c r="H233" s="31"/>
      <c r="I233" s="42"/>
      <c r="J233" s="47"/>
      <c r="K233" s="47"/>
      <c r="L233" s="48"/>
      <c r="M233" s="45"/>
      <c r="N233" s="42"/>
      <c r="O233" s="47"/>
      <c r="P233" s="47"/>
      <c r="Q233" s="48"/>
      <c r="S233" s="68"/>
      <c r="T233" s="46"/>
      <c r="U233" s="69"/>
      <c r="W233" s="70"/>
      <c r="X233" s="71">
        <f t="shared" si="341"/>
        <v>0</v>
      </c>
    </row>
    <row r="234" spans="1:24" s="49" customFormat="1" ht="20.25" customHeight="1" x14ac:dyDescent="0.35">
      <c r="A234" s="50" t="s">
        <v>26</v>
      </c>
      <c r="B234" s="12"/>
      <c r="C234" s="12" t="str">
        <f>C233</f>
        <v>S-TROPHY</v>
      </c>
      <c r="D234" s="31"/>
      <c r="E234" s="51"/>
      <c r="F234" s="52"/>
      <c r="G234" s="52"/>
      <c r="H234" s="53" t="str">
        <f>E212&amp;" Total"</f>
        <v>S-TROPHY Total</v>
      </c>
      <c r="I234" s="54">
        <f>SUBTOTAL(9,I213:I233)</f>
        <v>2416</v>
      </c>
      <c r="J234" s="55">
        <f>SUBTOTAL(9,J213:J233)</f>
        <v>27454.649999999998</v>
      </c>
      <c r="K234" s="55">
        <f>SUBTOTAL(9,K213:K233)</f>
        <v>5451.6699999999983</v>
      </c>
      <c r="L234" s="56">
        <f>IF(J234=0,0,K234/J234)</f>
        <v>0.19857000544534345</v>
      </c>
      <c r="M234" s="57"/>
      <c r="N234" s="54">
        <f>SUBTOTAL(9,N213:N233)</f>
        <v>2001</v>
      </c>
      <c r="O234" s="55">
        <f>SUBTOTAL(9,O213:O233)</f>
        <v>24105.449999999997</v>
      </c>
      <c r="P234" s="55">
        <f t="shared" ref="P234" si="348">SUM(P213:P233)</f>
        <v>5120.5</v>
      </c>
      <c r="Q234" s="56">
        <f t="shared" ref="Q234" si="349">IF(O234=0,0,P234/O234)</f>
        <v>0.21242084258953892</v>
      </c>
      <c r="R234" s="58"/>
      <c r="S234" s="72">
        <f t="shared" ref="S234:U234" si="350">SUBTOTAL(9,S213:S233)</f>
        <v>415</v>
      </c>
      <c r="T234" s="59">
        <f t="shared" si="350"/>
        <v>3349.2000000000007</v>
      </c>
      <c r="U234" s="73">
        <f t="shared" si="350"/>
        <v>331.16999999999882</v>
      </c>
      <c r="V234" s="58"/>
      <c r="W234" s="74">
        <f t="shared" ref="W234" si="351">L234-Q234</f>
        <v>-1.3850837144195466E-2</v>
      </c>
      <c r="X234" s="71">
        <f t="shared" si="341"/>
        <v>-1.3850837144195466E-2</v>
      </c>
    </row>
    <row r="235" spans="1:24" s="49" customFormat="1" ht="20.25" customHeight="1" x14ac:dyDescent="0.35">
      <c r="A235" s="50" t="s">
        <v>26</v>
      </c>
      <c r="B235" s="12"/>
      <c r="C235" s="12" t="str">
        <f>C234</f>
        <v>S-TROPHY</v>
      </c>
      <c r="D235" s="31"/>
      <c r="E235" s="101"/>
      <c r="F235" s="102"/>
      <c r="G235" s="102"/>
      <c r="H235" s="103"/>
      <c r="I235" s="104"/>
      <c r="J235" s="105"/>
      <c r="K235" s="105"/>
      <c r="L235" s="106"/>
      <c r="M235" s="57"/>
      <c r="N235" s="104"/>
      <c r="O235" s="105"/>
      <c r="P235" s="105"/>
      <c r="Q235" s="106"/>
      <c r="R235" s="58"/>
      <c r="S235" s="107"/>
      <c r="T235" s="108"/>
      <c r="U235" s="109"/>
      <c r="V235" s="58"/>
      <c r="W235" s="110"/>
      <c r="X235" s="75"/>
    </row>
    <row r="236" spans="1:24" ht="20.25" customHeight="1" x14ac:dyDescent="0.35">
      <c r="A236" s="12" t="s">
        <v>26</v>
      </c>
      <c r="B236" s="12"/>
      <c r="C236" s="12" t="str">
        <f>E236</f>
        <v>TOTE</v>
      </c>
      <c r="D236" s="31"/>
      <c r="E236" s="32" t="str">
        <f>"TOTE"</f>
        <v>TOTE</v>
      </c>
      <c r="F236" s="33"/>
      <c r="G236" s="33"/>
      <c r="H236" s="33"/>
      <c r="I236" s="34"/>
      <c r="J236" s="31"/>
      <c r="K236" s="31"/>
      <c r="L236" s="35"/>
      <c r="N236" s="36"/>
      <c r="O236" s="33"/>
      <c r="P236" s="33"/>
      <c r="Q236" s="37"/>
      <c r="S236" s="64"/>
      <c r="T236" s="65"/>
      <c r="U236" s="66"/>
      <c r="W236" s="67"/>
      <c r="X236" s="66"/>
    </row>
    <row r="237" spans="1:24" ht="20.25" customHeight="1" x14ac:dyDescent="0.35">
      <c r="A237" s="12" t="s">
        <v>26</v>
      </c>
      <c r="B237" s="12"/>
      <c r="C237" s="12" t="str">
        <f>C236</f>
        <v>TOTE</v>
      </c>
      <c r="D237" s="31"/>
      <c r="E237" s="38"/>
      <c r="F237" s="39" t="str">
        <f>"C100021"</f>
        <v>C100021</v>
      </c>
      <c r="G237" s="40" t="str">
        <f>"Canvas Boat Bag"</f>
        <v>Canvas Boat Bag</v>
      </c>
      <c r="H237" s="41">
        <v>6.88</v>
      </c>
      <c r="I237" s="42">
        <v>935.99999999999989</v>
      </c>
      <c r="J237" s="43">
        <v>9449.09</v>
      </c>
      <c r="K237" s="43">
        <f>J237-(I237*H237)</f>
        <v>3009.4100000000008</v>
      </c>
      <c r="L237" s="44">
        <f>IF(J237=0,0,K237/J237)</f>
        <v>0.31848675375089036</v>
      </c>
      <c r="M237" s="45"/>
      <c r="N237" s="42">
        <v>482.99999999999994</v>
      </c>
      <c r="O237" s="43">
        <v>4765.4800000000005</v>
      </c>
      <c r="P237" s="43">
        <f t="shared" ref="P237" si="352">O237-(N237*$H237)</f>
        <v>1442.440000000001</v>
      </c>
      <c r="Q237" s="44">
        <f t="shared" ref="Q237" si="353">IF(O237=0,0,P237/O237)</f>
        <v>0.30268514399388957</v>
      </c>
      <c r="S237" s="68">
        <f t="shared" ref="S237" si="354">I237-N237</f>
        <v>452.99999999999994</v>
      </c>
      <c r="T237" s="46">
        <f t="shared" ref="T237" si="355">J237-O237</f>
        <v>4683.6099999999997</v>
      </c>
      <c r="U237" s="69">
        <f t="shared" ref="U237" si="356">K237-P237</f>
        <v>1566.9699999999998</v>
      </c>
      <c r="W237" s="70">
        <f t="shared" ref="W237" si="357">L237-Q237</f>
        <v>1.580160975700079E-2</v>
      </c>
      <c r="X237" s="71">
        <f t="shared" ref="X237:X243" si="358">W237</f>
        <v>1.580160975700079E-2</v>
      </c>
    </row>
    <row r="238" spans="1:24" ht="20.25" customHeight="1" x14ac:dyDescent="0.35">
      <c r="A238" s="12" t="s">
        <v>26</v>
      </c>
      <c r="B238" s="12"/>
      <c r="C238" s="12" t="str">
        <f>C237</f>
        <v>TOTE</v>
      </c>
      <c r="D238" s="31"/>
      <c r="E238" s="38"/>
      <c r="F238" s="39" t="str">
        <f>"E100002"</f>
        <v>E100002</v>
      </c>
      <c r="G238" s="40" t="str">
        <f>"Cotton Classic Tote"</f>
        <v>Cotton Classic Tote</v>
      </c>
      <c r="H238" s="41">
        <v>0.64</v>
      </c>
      <c r="I238" s="42">
        <v>1176</v>
      </c>
      <c r="J238" s="43">
        <v>1430.8899999999999</v>
      </c>
      <c r="K238" s="43">
        <f>J238-(I238*H238)</f>
        <v>678.24999999999989</v>
      </c>
      <c r="L238" s="44">
        <f>IF(J238=0,0,K238/J238)</f>
        <v>0.47400568876713089</v>
      </c>
      <c r="M238" s="45"/>
      <c r="N238" s="42">
        <v>864</v>
      </c>
      <c r="O238" s="43">
        <v>1054.74</v>
      </c>
      <c r="P238" s="43">
        <f t="shared" ref="P238:P241" si="359">O238-(N238*$H238)</f>
        <v>501.78</v>
      </c>
      <c r="Q238" s="44">
        <f t="shared" ref="Q238:Q241" si="360">IF(O238=0,0,P238/O238)</f>
        <v>0.47573809659252514</v>
      </c>
      <c r="S238" s="68">
        <f t="shared" ref="S238:S241" si="361">I238-N238</f>
        <v>312</v>
      </c>
      <c r="T238" s="46">
        <f t="shared" ref="T238:T241" si="362">J238-O238</f>
        <v>376.14999999999986</v>
      </c>
      <c r="U238" s="69">
        <f t="shared" ref="U238:U241" si="363">K238-P238</f>
        <v>176.46999999999991</v>
      </c>
      <c r="W238" s="70">
        <f t="shared" ref="W238:W241" si="364">L238-Q238</f>
        <v>-1.7324078253942443E-3</v>
      </c>
      <c r="X238" s="71">
        <f t="shared" si="358"/>
        <v>-1.7324078253942443E-3</v>
      </c>
    </row>
    <row r="239" spans="1:24" ht="20.25" customHeight="1" x14ac:dyDescent="0.35">
      <c r="A239" s="12" t="s">
        <v>26</v>
      </c>
      <c r="B239" s="12"/>
      <c r="C239" s="12" t="str">
        <f>C238</f>
        <v>TOTE</v>
      </c>
      <c r="D239" s="31"/>
      <c r="E239" s="38"/>
      <c r="F239" s="39" t="str">
        <f>"E100003"</f>
        <v>E100003</v>
      </c>
      <c r="G239" s="40" t="str">
        <f>"Recycled Tote"</f>
        <v>Recycled Tote</v>
      </c>
      <c r="H239" s="41">
        <v>1.7</v>
      </c>
      <c r="I239" s="42">
        <v>625</v>
      </c>
      <c r="J239" s="43">
        <v>1868.91</v>
      </c>
      <c r="K239" s="43">
        <f>J239-(I239*H239)</f>
        <v>806.41000000000008</v>
      </c>
      <c r="L239" s="44">
        <f>IF(J239=0,0,K239/J239)</f>
        <v>0.43148680246774862</v>
      </c>
      <c r="M239" s="45"/>
      <c r="N239" s="42">
        <v>444.00000000000006</v>
      </c>
      <c r="O239" s="43">
        <v>1344.52</v>
      </c>
      <c r="P239" s="43">
        <f t="shared" si="359"/>
        <v>589.71999999999991</v>
      </c>
      <c r="Q239" s="44">
        <f t="shared" si="360"/>
        <v>0.43861006158331595</v>
      </c>
      <c r="S239" s="68">
        <f t="shared" si="361"/>
        <v>180.99999999999994</v>
      </c>
      <c r="T239" s="46">
        <f t="shared" si="362"/>
        <v>524.3900000000001</v>
      </c>
      <c r="U239" s="69">
        <f t="shared" si="363"/>
        <v>216.69000000000017</v>
      </c>
      <c r="W239" s="70">
        <f t="shared" si="364"/>
        <v>-7.1232591155673264E-3</v>
      </c>
      <c r="X239" s="71">
        <f t="shared" si="358"/>
        <v>-7.1232591155673264E-3</v>
      </c>
    </row>
    <row r="240" spans="1:24" ht="20.25" customHeight="1" x14ac:dyDescent="0.35">
      <c r="A240" s="12" t="s">
        <v>26</v>
      </c>
      <c r="B240" s="12"/>
      <c r="C240" s="12" t="str">
        <f>C239</f>
        <v>TOTE</v>
      </c>
      <c r="D240" s="31"/>
      <c r="E240" s="38"/>
      <c r="F240" s="39" t="str">
        <f>"E100004"</f>
        <v>E100004</v>
      </c>
      <c r="G240" s="40" t="str">
        <f>"Laminated Tote"</f>
        <v>Laminated Tote</v>
      </c>
      <c r="H240" s="41">
        <v>1.2</v>
      </c>
      <c r="I240" s="42">
        <v>1327</v>
      </c>
      <c r="J240" s="43">
        <v>2398.9</v>
      </c>
      <c r="K240" s="43">
        <f>J240-(I240*H240)</f>
        <v>806.50000000000023</v>
      </c>
      <c r="L240" s="44">
        <f>IF(J240=0,0,K240/J240)</f>
        <v>0.33619575638834476</v>
      </c>
      <c r="M240" s="45"/>
      <c r="N240" s="42">
        <v>1033</v>
      </c>
      <c r="O240" s="43">
        <v>1900.56</v>
      </c>
      <c r="P240" s="43">
        <f t="shared" si="359"/>
        <v>660.96</v>
      </c>
      <c r="Q240" s="44">
        <f t="shared" si="360"/>
        <v>0.34777118323020584</v>
      </c>
      <c r="S240" s="68">
        <f t="shared" si="361"/>
        <v>294</v>
      </c>
      <c r="T240" s="46">
        <f t="shared" si="362"/>
        <v>498.34000000000015</v>
      </c>
      <c r="U240" s="69">
        <f t="shared" si="363"/>
        <v>145.54000000000019</v>
      </c>
      <c r="W240" s="70">
        <f t="shared" si="364"/>
        <v>-1.1575426841861081E-2</v>
      </c>
      <c r="X240" s="71">
        <f t="shared" si="358"/>
        <v>-1.1575426841861081E-2</v>
      </c>
    </row>
    <row r="241" spans="1:24" ht="20.25" customHeight="1" x14ac:dyDescent="0.35">
      <c r="A241" s="12" t="s">
        <v>26</v>
      </c>
      <c r="B241" s="12"/>
      <c r="C241" s="12" t="str">
        <f>C240</f>
        <v>TOTE</v>
      </c>
      <c r="D241" s="31"/>
      <c r="E241" s="38"/>
      <c r="F241" s="39" t="str">
        <f>"E100005"</f>
        <v>E100005</v>
      </c>
      <c r="G241" s="40" t="str">
        <f>"All Purpose Tote"</f>
        <v>All Purpose Tote</v>
      </c>
      <c r="H241" s="41">
        <v>1.24</v>
      </c>
      <c r="I241" s="42">
        <v>673</v>
      </c>
      <c r="J241" s="43">
        <v>1671.8999999999999</v>
      </c>
      <c r="K241" s="43">
        <f>J241-(I241*H241)</f>
        <v>837.37999999999988</v>
      </c>
      <c r="L241" s="44">
        <f>IF(J241=0,0,K241/J241)</f>
        <v>0.50085531431305697</v>
      </c>
      <c r="M241" s="45"/>
      <c r="N241" s="42">
        <v>625</v>
      </c>
      <c r="O241" s="43">
        <v>1579.11</v>
      </c>
      <c r="P241" s="43">
        <f t="shared" si="359"/>
        <v>804.1099999999999</v>
      </c>
      <c r="Q241" s="44">
        <f t="shared" si="360"/>
        <v>0.5092172172932854</v>
      </c>
      <c r="S241" s="68">
        <f t="shared" si="361"/>
        <v>48</v>
      </c>
      <c r="T241" s="46">
        <f t="shared" si="362"/>
        <v>92.789999999999964</v>
      </c>
      <c r="U241" s="69">
        <f t="shared" si="363"/>
        <v>33.269999999999982</v>
      </c>
      <c r="W241" s="70">
        <f t="shared" si="364"/>
        <v>-8.3619029802284306E-3</v>
      </c>
      <c r="X241" s="71">
        <f t="shared" si="358"/>
        <v>-8.3619029802284306E-3</v>
      </c>
    </row>
    <row r="242" spans="1:24" ht="17.25" customHeight="1" x14ac:dyDescent="0.3">
      <c r="A242" s="12" t="s">
        <v>26</v>
      </c>
      <c r="B242" s="12"/>
      <c r="C242" s="12" t="str">
        <f>C237</f>
        <v>TOTE</v>
      </c>
      <c r="D242" s="31"/>
      <c r="E242" s="38"/>
      <c r="F242" s="31"/>
      <c r="G242" s="31"/>
      <c r="H242" s="31"/>
      <c r="I242" s="42"/>
      <c r="J242" s="47"/>
      <c r="K242" s="47"/>
      <c r="L242" s="48"/>
      <c r="M242" s="45"/>
      <c r="N242" s="42"/>
      <c r="O242" s="47"/>
      <c r="P242" s="47"/>
      <c r="Q242" s="48"/>
      <c r="S242" s="68"/>
      <c r="T242" s="46"/>
      <c r="U242" s="69"/>
      <c r="W242" s="70"/>
      <c r="X242" s="71">
        <f t="shared" si="358"/>
        <v>0</v>
      </c>
    </row>
    <row r="243" spans="1:24" s="49" customFormat="1" ht="20.25" customHeight="1" x14ac:dyDescent="0.35">
      <c r="A243" s="50" t="s">
        <v>26</v>
      </c>
      <c r="B243" s="12"/>
      <c r="C243" s="12" t="str">
        <f>C242</f>
        <v>TOTE</v>
      </c>
      <c r="D243" s="31"/>
      <c r="E243" s="51"/>
      <c r="F243" s="52"/>
      <c r="G243" s="52"/>
      <c r="H243" s="53" t="str">
        <f>E236&amp;" Total"</f>
        <v>TOTE Total</v>
      </c>
      <c r="I243" s="54">
        <f>SUBTOTAL(9,I237:I242)</f>
        <v>4737</v>
      </c>
      <c r="J243" s="55">
        <f>SUBTOTAL(9,J237:J242)</f>
        <v>16819.689999999999</v>
      </c>
      <c r="K243" s="55">
        <f>SUBTOTAL(9,K237:K242)</f>
        <v>6137.9500000000007</v>
      </c>
      <c r="L243" s="56">
        <f>IF(J243=0,0,K243/J243)</f>
        <v>0.36492646416194358</v>
      </c>
      <c r="M243" s="57"/>
      <c r="N243" s="54">
        <f>SUBTOTAL(9,N237:N242)</f>
        <v>3449</v>
      </c>
      <c r="O243" s="55">
        <f>SUBTOTAL(9,O237:O242)</f>
        <v>10644.41</v>
      </c>
      <c r="P243" s="55">
        <f t="shared" ref="P243" si="365">SUM(P237:P242)</f>
        <v>3999.0100000000011</v>
      </c>
      <c r="Q243" s="56">
        <f t="shared" ref="Q243" si="366">IF(O243=0,0,P243/O243)</f>
        <v>0.37569109044089821</v>
      </c>
      <c r="R243" s="58"/>
      <c r="S243" s="72">
        <f t="shared" ref="S243:U243" si="367">SUBTOTAL(9,S237:S242)</f>
        <v>1288</v>
      </c>
      <c r="T243" s="59">
        <f t="shared" si="367"/>
        <v>6175.28</v>
      </c>
      <c r="U243" s="73">
        <f t="shared" si="367"/>
        <v>2138.94</v>
      </c>
      <c r="V243" s="58"/>
      <c r="W243" s="74">
        <f t="shared" ref="W243" si="368">L243-Q243</f>
        <v>-1.0764626278954637E-2</v>
      </c>
      <c r="X243" s="71">
        <f t="shared" si="358"/>
        <v>-1.0764626278954637E-2</v>
      </c>
    </row>
    <row r="244" spans="1:24" s="49" customFormat="1" ht="20.25" customHeight="1" x14ac:dyDescent="0.35">
      <c r="A244" s="50" t="s">
        <v>26</v>
      </c>
      <c r="B244" s="12"/>
      <c r="C244" s="12" t="str">
        <f>C243</f>
        <v>TOTE</v>
      </c>
      <c r="D244" s="31"/>
      <c r="E244" s="101"/>
      <c r="F244" s="102"/>
      <c r="G244" s="102"/>
      <c r="H244" s="103"/>
      <c r="I244" s="104"/>
      <c r="J244" s="105"/>
      <c r="K244" s="105"/>
      <c r="L244" s="106"/>
      <c r="M244" s="57"/>
      <c r="N244" s="104"/>
      <c r="O244" s="105"/>
      <c r="P244" s="105"/>
      <c r="Q244" s="106"/>
      <c r="R244" s="58"/>
      <c r="S244" s="107"/>
      <c r="T244" s="108"/>
      <c r="U244" s="109"/>
      <c r="V244" s="58"/>
      <c r="W244" s="110"/>
      <c r="X244" s="75"/>
    </row>
    <row r="245" spans="1:24" ht="20.25" customHeight="1" x14ac:dyDescent="0.35">
      <c r="A245" s="12" t="s">
        <v>26</v>
      </c>
      <c r="B245" s="12"/>
      <c r="C245" s="12" t="str">
        <f>E245</f>
        <v>TRAV CLOCK</v>
      </c>
      <c r="D245" s="31"/>
      <c r="E245" s="32" t="str">
        <f>"TRAV CLOCK"</f>
        <v>TRAV CLOCK</v>
      </c>
      <c r="F245" s="33"/>
      <c r="G245" s="33"/>
      <c r="H245" s="33"/>
      <c r="I245" s="34"/>
      <c r="J245" s="31"/>
      <c r="K245" s="31"/>
      <c r="L245" s="35"/>
      <c r="N245" s="36"/>
      <c r="O245" s="33"/>
      <c r="P245" s="33"/>
      <c r="Q245" s="37"/>
      <c r="S245" s="64"/>
      <c r="T245" s="65"/>
      <c r="U245" s="66"/>
      <c r="W245" s="67"/>
      <c r="X245" s="66"/>
    </row>
    <row r="246" spans="1:24" ht="20.25" customHeight="1" x14ac:dyDescent="0.35">
      <c r="A246" s="12" t="s">
        <v>26</v>
      </c>
      <c r="B246" s="12"/>
      <c r="C246" s="12" t="str">
        <f>C245</f>
        <v>TRAV CLOCK</v>
      </c>
      <c r="D246" s="31"/>
      <c r="E246" s="38"/>
      <c r="F246" s="39" t="str">
        <f>"C100037"</f>
        <v>C100037</v>
      </c>
      <c r="G246" s="40" t="str">
        <f>"World Time Travel Alarm"</f>
        <v>World Time Travel Alarm</v>
      </c>
      <c r="H246" s="41">
        <v>5.4</v>
      </c>
      <c r="I246" s="42">
        <v>781</v>
      </c>
      <c r="J246" s="43">
        <v>6746.84</v>
      </c>
      <c r="K246" s="43">
        <f>J246-(I246*H246)</f>
        <v>2529.4399999999996</v>
      </c>
      <c r="L246" s="44">
        <f>IF(J246=0,0,K246/J246)</f>
        <v>0.37490736404005426</v>
      </c>
      <c r="M246" s="45"/>
      <c r="N246" s="42">
        <v>2</v>
      </c>
      <c r="O246" s="43">
        <v>17.41</v>
      </c>
      <c r="P246" s="43">
        <f t="shared" ref="P246" si="369">O246-(N246*$H246)</f>
        <v>6.6099999999999994</v>
      </c>
      <c r="Q246" s="44">
        <f t="shared" ref="Q246" si="370">IF(O246=0,0,P246/O246)</f>
        <v>0.37966685812751289</v>
      </c>
      <c r="S246" s="68">
        <f t="shared" ref="S246" si="371">I246-N246</f>
        <v>779</v>
      </c>
      <c r="T246" s="46">
        <f t="shared" ref="T246" si="372">J246-O246</f>
        <v>6729.43</v>
      </c>
      <c r="U246" s="69">
        <f t="shared" ref="U246" si="373">K246-P246</f>
        <v>2522.8299999999995</v>
      </c>
      <c r="W246" s="70">
        <f t="shared" ref="W246" si="374">L246-Q246</f>
        <v>-4.7594940874586267E-3</v>
      </c>
      <c r="X246" s="71">
        <f t="shared" ref="X246:X252" si="375">W246</f>
        <v>-4.7594940874586267E-3</v>
      </c>
    </row>
    <row r="247" spans="1:24" ht="20.25" customHeight="1" x14ac:dyDescent="0.35">
      <c r="A247" s="12" t="s">
        <v>26</v>
      </c>
      <c r="B247" s="12"/>
      <c r="C247" s="12" t="str">
        <f>C246</f>
        <v>TRAV CLOCK</v>
      </c>
      <c r="D247" s="31"/>
      <c r="E247" s="38"/>
      <c r="F247" s="39" t="str">
        <f>"E100019"</f>
        <v>E100019</v>
      </c>
      <c r="G247" s="40" t="str">
        <f>"Mini Travel Alarm"</f>
        <v>Mini Travel Alarm</v>
      </c>
      <c r="H247" s="41">
        <v>1.6196999999999999</v>
      </c>
      <c r="I247" s="42">
        <v>798</v>
      </c>
      <c r="J247" s="43">
        <v>2602.81</v>
      </c>
      <c r="K247" s="43">
        <f>J247-(I247*H247)</f>
        <v>1310.2894000000001</v>
      </c>
      <c r="L247" s="44">
        <f>IF(J247=0,0,K247/J247)</f>
        <v>0.5034133878385284</v>
      </c>
      <c r="M247" s="45"/>
      <c r="N247" s="42">
        <v>624</v>
      </c>
      <c r="O247" s="43">
        <v>2068.2000000000003</v>
      </c>
      <c r="P247" s="43">
        <f t="shared" ref="P247:P250" si="376">O247-(N247*$H247)</f>
        <v>1057.5072000000005</v>
      </c>
      <c r="Q247" s="44">
        <f t="shared" ref="Q247:Q250" si="377">IF(O247=0,0,P247/O247)</f>
        <v>0.51131766753698882</v>
      </c>
      <c r="S247" s="68">
        <f t="shared" ref="S247:S250" si="378">I247-N247</f>
        <v>174</v>
      </c>
      <c r="T247" s="46">
        <f t="shared" ref="T247:T250" si="379">J247-O247</f>
        <v>534.60999999999967</v>
      </c>
      <c r="U247" s="69">
        <f t="shared" ref="U247:U250" si="380">K247-P247</f>
        <v>252.78219999999965</v>
      </c>
      <c r="W247" s="70">
        <f t="shared" ref="W247:W250" si="381">L247-Q247</f>
        <v>-7.9042796984604147E-3</v>
      </c>
      <c r="X247" s="71">
        <f t="shared" si="375"/>
        <v>-7.9042796984604147E-3</v>
      </c>
    </row>
    <row r="248" spans="1:24" ht="20.25" customHeight="1" x14ac:dyDescent="0.35">
      <c r="A248" s="12" t="s">
        <v>26</v>
      </c>
      <c r="B248" s="12"/>
      <c r="C248" s="12" t="str">
        <f>C247</f>
        <v>TRAV CLOCK</v>
      </c>
      <c r="D248" s="31"/>
      <c r="E248" s="38"/>
      <c r="F248" s="39" t="str">
        <f>"E100020"</f>
        <v>E100020</v>
      </c>
      <c r="G248" s="40" t="str">
        <f>"Flip-up Travel Alarm"</f>
        <v>Flip-up Travel Alarm</v>
      </c>
      <c r="H248" s="41">
        <v>4.6801000000000004</v>
      </c>
      <c r="I248" s="42">
        <v>721</v>
      </c>
      <c r="J248" s="43">
        <v>6341.4800000000005</v>
      </c>
      <c r="K248" s="43">
        <f>J248-(I248*H248)</f>
        <v>2967.1279000000004</v>
      </c>
      <c r="L248" s="44">
        <f>IF(J248=0,0,K248/J248)</f>
        <v>0.46789202205163466</v>
      </c>
      <c r="M248" s="45"/>
      <c r="N248" s="42">
        <v>432</v>
      </c>
      <c r="O248" s="43">
        <v>3850.25</v>
      </c>
      <c r="P248" s="43">
        <f t="shared" si="376"/>
        <v>1828.4467999999999</v>
      </c>
      <c r="Q248" s="44">
        <f t="shared" si="377"/>
        <v>0.47489040971365493</v>
      </c>
      <c r="S248" s="68">
        <f t="shared" si="378"/>
        <v>289</v>
      </c>
      <c r="T248" s="46">
        <f t="shared" si="379"/>
        <v>2491.2300000000005</v>
      </c>
      <c r="U248" s="69">
        <f t="shared" si="380"/>
        <v>1138.6811000000005</v>
      </c>
      <c r="W248" s="70">
        <f t="shared" si="381"/>
        <v>-6.9983876620202667E-3</v>
      </c>
      <c r="X248" s="71">
        <f t="shared" si="375"/>
        <v>-6.9983876620202667E-3</v>
      </c>
    </row>
    <row r="249" spans="1:24" ht="20.25" customHeight="1" x14ac:dyDescent="0.35">
      <c r="A249" s="12" t="s">
        <v>26</v>
      </c>
      <c r="B249" s="12"/>
      <c r="C249" s="12" t="str">
        <f>C248</f>
        <v>TRAV CLOCK</v>
      </c>
      <c r="D249" s="31"/>
      <c r="E249" s="38"/>
      <c r="F249" s="39" t="str">
        <f>"E100021"</f>
        <v>E100021</v>
      </c>
      <c r="G249" s="40" t="str">
        <f>"Slim Travel Alarm"</f>
        <v>Slim Travel Alarm</v>
      </c>
      <c r="H249" s="41">
        <v>1.44</v>
      </c>
      <c r="I249" s="42">
        <v>1164</v>
      </c>
      <c r="J249" s="43">
        <v>3228.94</v>
      </c>
      <c r="K249" s="43">
        <f>J249-(I249*H249)</f>
        <v>1552.7800000000002</v>
      </c>
      <c r="L249" s="44">
        <f>IF(J249=0,0,K249/J249)</f>
        <v>0.48089465892831706</v>
      </c>
      <c r="M249" s="45"/>
      <c r="N249" s="42">
        <v>784</v>
      </c>
      <c r="O249" s="43">
        <v>2208.5</v>
      </c>
      <c r="P249" s="43">
        <f t="shared" si="376"/>
        <v>1079.54</v>
      </c>
      <c r="Q249" s="44">
        <f t="shared" si="377"/>
        <v>0.48881141045958793</v>
      </c>
      <c r="S249" s="68">
        <f t="shared" si="378"/>
        <v>380</v>
      </c>
      <c r="T249" s="46">
        <f t="shared" si="379"/>
        <v>1020.44</v>
      </c>
      <c r="U249" s="69">
        <f t="shared" si="380"/>
        <v>473.24000000000024</v>
      </c>
      <c r="W249" s="70">
        <f t="shared" si="381"/>
        <v>-7.9167515312708603E-3</v>
      </c>
      <c r="X249" s="71">
        <f t="shared" si="375"/>
        <v>-7.9167515312708603E-3</v>
      </c>
    </row>
    <row r="250" spans="1:24" ht="20.25" customHeight="1" x14ac:dyDescent="0.35">
      <c r="A250" s="12" t="s">
        <v>26</v>
      </c>
      <c r="B250" s="12"/>
      <c r="C250" s="12" t="str">
        <f>C249</f>
        <v>TRAV CLOCK</v>
      </c>
      <c r="D250" s="31"/>
      <c r="E250" s="38"/>
      <c r="F250" s="39" t="str">
        <f>"E100022"</f>
        <v>E100022</v>
      </c>
      <c r="G250" s="40" t="str">
        <f>"Wide Screen Alarm Clock"</f>
        <v>Wide Screen Alarm Clock</v>
      </c>
      <c r="H250" s="41">
        <v>1.2801</v>
      </c>
      <c r="I250" s="42">
        <v>1441</v>
      </c>
      <c r="J250" s="43">
        <v>2701.95</v>
      </c>
      <c r="K250" s="43">
        <f>J250-(I250*H250)</f>
        <v>857.32589999999982</v>
      </c>
      <c r="L250" s="44">
        <f>IF(J250=0,0,K250/J250)</f>
        <v>0.31729895075778602</v>
      </c>
      <c r="M250" s="45"/>
      <c r="N250" s="42">
        <v>1528</v>
      </c>
      <c r="O250" s="43">
        <v>2871.1200000000003</v>
      </c>
      <c r="P250" s="43">
        <f t="shared" si="376"/>
        <v>915.12720000000036</v>
      </c>
      <c r="Q250" s="44">
        <f t="shared" si="377"/>
        <v>0.31873526707347666</v>
      </c>
      <c r="S250" s="68">
        <f t="shared" si="378"/>
        <v>-87</v>
      </c>
      <c r="T250" s="46">
        <f t="shared" si="379"/>
        <v>-169.17000000000053</v>
      </c>
      <c r="U250" s="69">
        <f t="shared" si="380"/>
        <v>-57.801300000000538</v>
      </c>
      <c r="W250" s="70">
        <f t="shared" si="381"/>
        <v>-1.4363163156906333E-3</v>
      </c>
      <c r="X250" s="71">
        <f t="shared" si="375"/>
        <v>-1.4363163156906333E-3</v>
      </c>
    </row>
    <row r="251" spans="1:24" ht="17.25" customHeight="1" x14ac:dyDescent="0.3">
      <c r="A251" s="12" t="s">
        <v>26</v>
      </c>
      <c r="B251" s="12"/>
      <c r="C251" s="12" t="str">
        <f>C246</f>
        <v>TRAV CLOCK</v>
      </c>
      <c r="D251" s="31"/>
      <c r="E251" s="38"/>
      <c r="F251" s="31"/>
      <c r="G251" s="31"/>
      <c r="H251" s="31"/>
      <c r="I251" s="42"/>
      <c r="J251" s="47"/>
      <c r="K251" s="47"/>
      <c r="L251" s="48"/>
      <c r="M251" s="45"/>
      <c r="N251" s="42"/>
      <c r="O251" s="47"/>
      <c r="P251" s="47"/>
      <c r="Q251" s="48"/>
      <c r="S251" s="68"/>
      <c r="T251" s="46"/>
      <c r="U251" s="69"/>
      <c r="W251" s="70"/>
      <c r="X251" s="71">
        <f t="shared" si="375"/>
        <v>0</v>
      </c>
    </row>
    <row r="252" spans="1:24" s="49" customFormat="1" ht="20.25" customHeight="1" x14ac:dyDescent="0.35">
      <c r="A252" s="50" t="s">
        <v>26</v>
      </c>
      <c r="B252" s="12"/>
      <c r="C252" s="12" t="str">
        <f>C251</f>
        <v>TRAV CLOCK</v>
      </c>
      <c r="D252" s="31"/>
      <c r="E252" s="51"/>
      <c r="F252" s="52"/>
      <c r="G252" s="52"/>
      <c r="H252" s="53" t="str">
        <f>E245&amp;" Total"</f>
        <v>TRAV CLOCK Total</v>
      </c>
      <c r="I252" s="54">
        <f>SUBTOTAL(9,I246:I251)</f>
        <v>4905</v>
      </c>
      <c r="J252" s="55">
        <f>SUBTOTAL(9,J246:J251)</f>
        <v>21622.02</v>
      </c>
      <c r="K252" s="55">
        <f>SUBTOTAL(9,K246:K251)</f>
        <v>9216.9632000000001</v>
      </c>
      <c r="L252" s="56">
        <f>IF(J252=0,0,K252/J252)</f>
        <v>0.4262766938519158</v>
      </c>
      <c r="M252" s="57"/>
      <c r="N252" s="54">
        <f>SUBTOTAL(9,N246:N251)</f>
        <v>3370</v>
      </c>
      <c r="O252" s="55">
        <f>SUBTOTAL(9,O246:O251)</f>
        <v>11015.480000000001</v>
      </c>
      <c r="P252" s="55">
        <f t="shared" ref="P252" si="382">SUM(P246:P251)</f>
        <v>4887.2312000000002</v>
      </c>
      <c r="Q252" s="56">
        <f t="shared" ref="Q252" si="383">IF(O252=0,0,P252/O252)</f>
        <v>0.44366938163384617</v>
      </c>
      <c r="R252" s="58"/>
      <c r="S252" s="72">
        <f t="shared" ref="S252:U252" si="384">SUBTOTAL(9,S246:S251)</f>
        <v>1535</v>
      </c>
      <c r="T252" s="59">
        <f t="shared" si="384"/>
        <v>10606.54</v>
      </c>
      <c r="U252" s="73">
        <f t="shared" si="384"/>
        <v>4329.7319999999982</v>
      </c>
      <c r="V252" s="58"/>
      <c r="W252" s="74">
        <f t="shared" ref="W252" si="385">L252-Q252</f>
        <v>-1.7392687781930372E-2</v>
      </c>
      <c r="X252" s="71">
        <f t="shared" si="375"/>
        <v>-1.7392687781930372E-2</v>
      </c>
    </row>
    <row r="253" spans="1:24" s="49" customFormat="1" ht="20.25" customHeight="1" x14ac:dyDescent="0.35">
      <c r="A253" s="50" t="s">
        <v>26</v>
      </c>
      <c r="B253" s="12"/>
      <c r="C253" s="12" t="str">
        <f>C252</f>
        <v>TRAV CLOCK</v>
      </c>
      <c r="D253" s="31"/>
      <c r="E253" s="101"/>
      <c r="F253" s="102"/>
      <c r="G253" s="102"/>
      <c r="H253" s="103"/>
      <c r="I253" s="104"/>
      <c r="J253" s="105"/>
      <c r="K253" s="105"/>
      <c r="L253" s="106"/>
      <c r="M253" s="57"/>
      <c r="N253" s="104"/>
      <c r="O253" s="105"/>
      <c r="P253" s="105"/>
      <c r="Q253" s="106"/>
      <c r="R253" s="58"/>
      <c r="S253" s="107"/>
      <c r="T253" s="108"/>
      <c r="U253" s="109"/>
      <c r="V253" s="58"/>
      <c r="W253" s="110"/>
      <c r="X253" s="75"/>
    </row>
    <row r="254" spans="1:24" ht="20.25" customHeight="1" x14ac:dyDescent="0.35">
      <c r="A254" s="12" t="s">
        <v>26</v>
      </c>
      <c r="B254" s="12"/>
      <c r="C254" s="12" t="str">
        <f>E254</f>
        <v>TRAVEL</v>
      </c>
      <c r="D254" s="31"/>
      <c r="E254" s="32" t="str">
        <f>"TRAVEL"</f>
        <v>TRAVEL</v>
      </c>
      <c r="F254" s="33"/>
      <c r="G254" s="33"/>
      <c r="H254" s="33"/>
      <c r="I254" s="34"/>
      <c r="J254" s="31"/>
      <c r="K254" s="31"/>
      <c r="L254" s="35"/>
      <c r="N254" s="36"/>
      <c r="O254" s="33"/>
      <c r="P254" s="33"/>
      <c r="Q254" s="37"/>
      <c r="S254" s="64"/>
      <c r="T254" s="65"/>
      <c r="U254" s="66"/>
      <c r="W254" s="67"/>
      <c r="X254" s="66"/>
    </row>
    <row r="255" spans="1:24" ht="20.25" customHeight="1" x14ac:dyDescent="0.35">
      <c r="A255" s="12" t="s">
        <v>26</v>
      </c>
      <c r="B255" s="12"/>
      <c r="C255" s="12" t="str">
        <f>C254</f>
        <v>TRAVEL</v>
      </c>
      <c r="D255" s="31"/>
      <c r="E255" s="38"/>
      <c r="F255" s="39" t="str">
        <f>"C100066"</f>
        <v>C100066</v>
      </c>
      <c r="G255" s="40" t="str">
        <f>"Fashion Travel Mug"</f>
        <v>Fashion Travel Mug</v>
      </c>
      <c r="H255" s="41">
        <v>1.65</v>
      </c>
      <c r="I255" s="42">
        <v>631</v>
      </c>
      <c r="J255" s="43">
        <v>2205.34</v>
      </c>
      <c r="K255" s="43">
        <f>J255-(I255*H255)</f>
        <v>1164.1900000000003</v>
      </c>
      <c r="L255" s="44">
        <f>IF(J255=0,0,K255/J255)</f>
        <v>0.52789592534484486</v>
      </c>
      <c r="M255" s="45"/>
      <c r="N255" s="42">
        <v>594</v>
      </c>
      <c r="O255" s="43">
        <v>2095.62</v>
      </c>
      <c r="P255" s="43">
        <f t="shared" ref="P255" si="386">O255-(N255*$H255)</f>
        <v>1115.52</v>
      </c>
      <c r="Q255" s="44">
        <f t="shared" ref="Q255" si="387">IF(O255=0,0,P255/O255)</f>
        <v>0.53231024708678099</v>
      </c>
      <c r="S255" s="68">
        <f t="shared" ref="S255" si="388">I255-N255</f>
        <v>37</v>
      </c>
      <c r="T255" s="46">
        <f t="shared" ref="T255" si="389">J255-O255</f>
        <v>109.72000000000025</v>
      </c>
      <c r="U255" s="69">
        <f t="shared" ref="U255" si="390">K255-P255</f>
        <v>48.6700000000003</v>
      </c>
      <c r="W255" s="70">
        <f t="shared" ref="W255" si="391">L255-Q255</f>
        <v>-4.4143217419361225E-3</v>
      </c>
      <c r="X255" s="71">
        <f t="shared" ref="X255:X259" si="392">W255</f>
        <v>-4.4143217419361225E-3</v>
      </c>
    </row>
    <row r="256" spans="1:24" ht="20.25" customHeight="1" x14ac:dyDescent="0.35">
      <c r="A256" s="12" t="s">
        <v>26</v>
      </c>
      <c r="B256" s="12"/>
      <c r="C256" s="12" t="str">
        <f>C255</f>
        <v>TRAVEL</v>
      </c>
      <c r="D256" s="31"/>
      <c r="E256" s="38"/>
      <c r="F256" s="39" t="str">
        <f>"C100067"</f>
        <v>C100067</v>
      </c>
      <c r="G256" s="40" t="str">
        <f>"Stainless Thermos"</f>
        <v>Stainless Thermos</v>
      </c>
      <c r="H256" s="41">
        <v>2.56</v>
      </c>
      <c r="I256" s="42">
        <v>54</v>
      </c>
      <c r="J256" s="43">
        <v>249.23</v>
      </c>
      <c r="K256" s="43">
        <f>J256-(I256*H256)</f>
        <v>110.98999999999998</v>
      </c>
      <c r="L256" s="44">
        <f>IF(J256=0,0,K256/J256)</f>
        <v>0.44533162139389315</v>
      </c>
      <c r="M256" s="45"/>
      <c r="N256" s="42">
        <v>432</v>
      </c>
      <c r="O256" s="43">
        <v>1993.9900000000002</v>
      </c>
      <c r="P256" s="43">
        <f t="shared" ref="P256:P257" si="393">O256-(N256*$H256)</f>
        <v>888.07000000000016</v>
      </c>
      <c r="Q256" s="44">
        <f t="shared" ref="Q256:Q257" si="394">IF(O256=0,0,P256/O256)</f>
        <v>0.44537334690745695</v>
      </c>
      <c r="S256" s="68">
        <f t="shared" ref="S256:S257" si="395">I256-N256</f>
        <v>-378</v>
      </c>
      <c r="T256" s="46">
        <f t="shared" ref="T256:T257" si="396">J256-O256</f>
        <v>-1744.7600000000002</v>
      </c>
      <c r="U256" s="69">
        <f t="shared" ref="U256:U257" si="397">K256-P256</f>
        <v>-777.08000000000015</v>
      </c>
      <c r="W256" s="70">
        <f t="shared" ref="W256:W257" si="398">L256-Q256</f>
        <v>-4.1725513563795058E-5</v>
      </c>
      <c r="X256" s="71">
        <f t="shared" si="392"/>
        <v>-4.1725513563795058E-5</v>
      </c>
    </row>
    <row r="257" spans="1:24" ht="20.25" customHeight="1" x14ac:dyDescent="0.35">
      <c r="A257" s="12" t="s">
        <v>26</v>
      </c>
      <c r="B257" s="12"/>
      <c r="C257" s="12" t="str">
        <f>C256</f>
        <v>TRAVEL</v>
      </c>
      <c r="D257" s="31"/>
      <c r="E257" s="38"/>
      <c r="F257" s="39" t="str">
        <f>"E100042"</f>
        <v>E100042</v>
      </c>
      <c r="G257" s="40" t="str">
        <f>"Soft Touch Travel Mug"</f>
        <v>Soft Touch Travel Mug</v>
      </c>
      <c r="H257" s="41">
        <v>2.1501000000000001</v>
      </c>
      <c r="I257" s="42">
        <v>624</v>
      </c>
      <c r="J257" s="43">
        <v>2355.4</v>
      </c>
      <c r="K257" s="43">
        <f>J257-(I257*H257)</f>
        <v>1013.7375999999999</v>
      </c>
      <c r="L257" s="44">
        <f>IF(J257=0,0,K257/J257)</f>
        <v>0.43038872378364607</v>
      </c>
      <c r="M257" s="45"/>
      <c r="N257" s="42">
        <v>145</v>
      </c>
      <c r="O257" s="43">
        <v>544.34</v>
      </c>
      <c r="P257" s="43">
        <f t="shared" si="393"/>
        <v>232.57550000000003</v>
      </c>
      <c r="Q257" s="44">
        <f t="shared" si="394"/>
        <v>0.42726145423816003</v>
      </c>
      <c r="S257" s="68">
        <f t="shared" si="395"/>
        <v>479</v>
      </c>
      <c r="T257" s="46">
        <f t="shared" si="396"/>
        <v>1811.06</v>
      </c>
      <c r="U257" s="69">
        <f t="shared" si="397"/>
        <v>781.1620999999999</v>
      </c>
      <c r="W257" s="70">
        <f t="shared" si="398"/>
        <v>3.1272695454860333E-3</v>
      </c>
      <c r="X257" s="71">
        <f t="shared" si="392"/>
        <v>3.1272695454860333E-3</v>
      </c>
    </row>
    <row r="258" spans="1:24" ht="17.25" customHeight="1" x14ac:dyDescent="0.3">
      <c r="A258" s="12" t="s">
        <v>26</v>
      </c>
      <c r="B258" s="12"/>
      <c r="C258" s="12" t="str">
        <f>C255</f>
        <v>TRAVEL</v>
      </c>
      <c r="D258" s="31"/>
      <c r="E258" s="38"/>
      <c r="F258" s="31"/>
      <c r="G258" s="31"/>
      <c r="H258" s="31"/>
      <c r="I258" s="42"/>
      <c r="J258" s="47"/>
      <c r="K258" s="47"/>
      <c r="L258" s="48"/>
      <c r="M258" s="45"/>
      <c r="N258" s="42"/>
      <c r="O258" s="47"/>
      <c r="P258" s="47"/>
      <c r="Q258" s="48"/>
      <c r="S258" s="68"/>
      <c r="T258" s="46"/>
      <c r="U258" s="69"/>
      <c r="W258" s="70"/>
      <c r="X258" s="71">
        <f t="shared" si="392"/>
        <v>0</v>
      </c>
    </row>
    <row r="259" spans="1:24" s="49" customFormat="1" ht="20.25" customHeight="1" x14ac:dyDescent="0.35">
      <c r="A259" s="50" t="s">
        <v>26</v>
      </c>
      <c r="B259" s="12"/>
      <c r="C259" s="12" t="str">
        <f>C258</f>
        <v>TRAVEL</v>
      </c>
      <c r="D259" s="31"/>
      <c r="E259" s="51"/>
      <c r="F259" s="52"/>
      <c r="G259" s="52"/>
      <c r="H259" s="53" t="str">
        <f>E254&amp;" Total"</f>
        <v>TRAVEL Total</v>
      </c>
      <c r="I259" s="54">
        <f>SUBTOTAL(9,I255:I258)</f>
        <v>1309</v>
      </c>
      <c r="J259" s="55">
        <f>SUBTOTAL(9,J255:J258)</f>
        <v>4809.97</v>
      </c>
      <c r="K259" s="55">
        <f>SUBTOTAL(9,K255:K258)</f>
        <v>2288.9176000000002</v>
      </c>
      <c r="L259" s="56">
        <f>IF(J259=0,0,K259/J259)</f>
        <v>0.47586941290694124</v>
      </c>
      <c r="M259" s="57"/>
      <c r="N259" s="54">
        <f>SUBTOTAL(9,N255:N258)</f>
        <v>1171</v>
      </c>
      <c r="O259" s="55">
        <f>SUBTOTAL(9,O255:O258)</f>
        <v>4633.95</v>
      </c>
      <c r="P259" s="55">
        <f t="shared" ref="P259" si="399">SUM(P255:P258)</f>
        <v>2236.1655000000001</v>
      </c>
      <c r="Q259" s="56">
        <f t="shared" ref="Q259" si="400">IF(O259=0,0,P259/O259)</f>
        <v>0.48256142168128707</v>
      </c>
      <c r="R259" s="58"/>
      <c r="S259" s="72">
        <f t="shared" ref="S259:U259" si="401">SUBTOTAL(9,S255:S258)</f>
        <v>138</v>
      </c>
      <c r="T259" s="59">
        <f t="shared" si="401"/>
        <v>176.01999999999998</v>
      </c>
      <c r="U259" s="73">
        <f t="shared" si="401"/>
        <v>52.752100000000041</v>
      </c>
      <c r="V259" s="58"/>
      <c r="W259" s="74">
        <f t="shared" ref="W259" si="402">L259-Q259</f>
        <v>-6.6920087743458367E-3</v>
      </c>
      <c r="X259" s="71">
        <f t="shared" si="392"/>
        <v>-6.6920087743458367E-3</v>
      </c>
    </row>
    <row r="260" spans="1:24" s="49" customFormat="1" ht="20.25" customHeight="1" x14ac:dyDescent="0.35">
      <c r="A260" s="50" t="s">
        <v>26</v>
      </c>
      <c r="B260" s="12"/>
      <c r="C260" s="12" t="str">
        <f>C259</f>
        <v>TRAVEL</v>
      </c>
      <c r="D260" s="31"/>
      <c r="E260" s="101"/>
      <c r="F260" s="102"/>
      <c r="G260" s="102"/>
      <c r="H260" s="103"/>
      <c r="I260" s="104"/>
      <c r="J260" s="105"/>
      <c r="K260" s="105"/>
      <c r="L260" s="106"/>
      <c r="M260" s="57"/>
      <c r="N260" s="104"/>
      <c r="O260" s="105"/>
      <c r="P260" s="105"/>
      <c r="Q260" s="106"/>
      <c r="R260" s="58"/>
      <c r="S260" s="107"/>
      <c r="T260" s="108"/>
      <c r="U260" s="109"/>
      <c r="V260" s="58"/>
      <c r="W260" s="110"/>
      <c r="X260" s="75"/>
    </row>
    <row r="261" spans="1:24" ht="20.25" customHeight="1" x14ac:dyDescent="0.35">
      <c r="A261" s="12" t="s">
        <v>26</v>
      </c>
      <c r="B261" s="12"/>
      <c r="C261" s="12" t="str">
        <f>E261</f>
        <v>USB</v>
      </c>
      <c r="D261" s="31"/>
      <c r="E261" s="32" t="str">
        <f>"USB"</f>
        <v>USB</v>
      </c>
      <c r="F261" s="33"/>
      <c r="G261" s="33"/>
      <c r="H261" s="33"/>
      <c r="I261" s="34"/>
      <c r="J261" s="31"/>
      <c r="K261" s="31"/>
      <c r="L261" s="35"/>
      <c r="N261" s="36"/>
      <c r="O261" s="33"/>
      <c r="P261" s="33"/>
      <c r="Q261" s="37"/>
      <c r="S261" s="64"/>
      <c r="T261" s="65"/>
      <c r="U261" s="66"/>
      <c r="W261" s="67"/>
      <c r="X261" s="66"/>
    </row>
    <row r="262" spans="1:24" ht="20.25" customHeight="1" x14ac:dyDescent="0.35">
      <c r="A262" s="12" t="s">
        <v>26</v>
      </c>
      <c r="B262" s="12"/>
      <c r="C262" s="12" t="str">
        <f>C261</f>
        <v>USB</v>
      </c>
      <c r="D262" s="31"/>
      <c r="E262" s="38"/>
      <c r="F262" s="39" t="str">
        <f>"E100034"</f>
        <v>E100034</v>
      </c>
      <c r="G262" s="40" t="str">
        <f>"Bamboo 1GB USB Flash Drive"</f>
        <v>Bamboo 1GB USB Flash Drive</v>
      </c>
      <c r="H262" s="41">
        <v>2.7</v>
      </c>
      <c r="I262" s="42">
        <v>442.99999999999994</v>
      </c>
      <c r="J262" s="43">
        <v>2463.8199999999997</v>
      </c>
      <c r="K262" s="43">
        <f>J262-(I262*H262)</f>
        <v>1267.7199999999998</v>
      </c>
      <c r="L262" s="44">
        <f>IF(J262=0,0,K262/J262)</f>
        <v>0.51453434098270168</v>
      </c>
      <c r="M262" s="45"/>
      <c r="N262" s="42">
        <v>601</v>
      </c>
      <c r="O262" s="43">
        <v>3405.27</v>
      </c>
      <c r="P262" s="43">
        <f t="shared" ref="P262" si="403">O262-(N262*$H262)</f>
        <v>1782.57</v>
      </c>
      <c r="Q262" s="44">
        <f t="shared" ref="Q262" si="404">IF(O262=0,0,P262/O262)</f>
        <v>0.52347390955783235</v>
      </c>
      <c r="S262" s="68">
        <f t="shared" ref="S262" si="405">I262-N262</f>
        <v>-158.00000000000006</v>
      </c>
      <c r="T262" s="46">
        <f t="shared" ref="T262" si="406">J262-O262</f>
        <v>-941.45000000000027</v>
      </c>
      <c r="U262" s="69">
        <f t="shared" ref="U262" si="407">K262-P262</f>
        <v>-514.85000000000014</v>
      </c>
      <c r="W262" s="70">
        <f t="shared" ref="W262" si="408">L262-Q262</f>
        <v>-8.9395685751306742E-3</v>
      </c>
      <c r="X262" s="71">
        <f t="shared" ref="X262:X266" si="409">W262</f>
        <v>-8.9395685751306742E-3</v>
      </c>
    </row>
    <row r="263" spans="1:24" ht="20.25" customHeight="1" x14ac:dyDescent="0.35">
      <c r="A263" s="12" t="s">
        <v>26</v>
      </c>
      <c r="B263" s="12"/>
      <c r="C263" s="12" t="str">
        <f>C262</f>
        <v>USB</v>
      </c>
      <c r="D263" s="31"/>
      <c r="E263" s="38"/>
      <c r="F263" s="39" t="str">
        <f>"E100035"</f>
        <v>E100035</v>
      </c>
      <c r="G263" s="40" t="str">
        <f>"2GB Foldout USB Flash Drive"</f>
        <v>2GB Foldout USB Flash Drive</v>
      </c>
      <c r="H263" s="41">
        <v>2.25</v>
      </c>
      <c r="I263" s="42">
        <v>625</v>
      </c>
      <c r="J263" s="43">
        <v>2346.16</v>
      </c>
      <c r="K263" s="43">
        <f>J263-(I263*H263)</f>
        <v>939.90999999999985</v>
      </c>
      <c r="L263" s="44">
        <f>IF(J263=0,0,K263/J263)</f>
        <v>0.40061632625225896</v>
      </c>
      <c r="M263" s="45"/>
      <c r="N263" s="42">
        <v>613</v>
      </c>
      <c r="O263" s="43">
        <v>2324.85</v>
      </c>
      <c r="P263" s="43">
        <f t="shared" ref="P263:P264" si="410">O263-(N263*$H263)</f>
        <v>945.59999999999991</v>
      </c>
      <c r="Q263" s="44">
        <f t="shared" ref="Q263:Q264" si="411">IF(O263=0,0,P263/O263)</f>
        <v>0.40673591844635137</v>
      </c>
      <c r="S263" s="68">
        <f t="shared" ref="S263:S264" si="412">I263-N263</f>
        <v>12</v>
      </c>
      <c r="T263" s="46">
        <f t="shared" ref="T263:T264" si="413">J263-O263</f>
        <v>21.309999999999945</v>
      </c>
      <c r="U263" s="69">
        <f t="shared" ref="U263:U264" si="414">K263-P263</f>
        <v>-5.6900000000000546</v>
      </c>
      <c r="W263" s="70">
        <f t="shared" ref="W263:W264" si="415">L263-Q263</f>
        <v>-6.1195921940924158E-3</v>
      </c>
      <c r="X263" s="71">
        <f t="shared" si="409"/>
        <v>-6.1195921940924158E-3</v>
      </c>
    </row>
    <row r="264" spans="1:24" ht="20.25" customHeight="1" x14ac:dyDescent="0.35">
      <c r="A264" s="12" t="s">
        <v>26</v>
      </c>
      <c r="B264" s="12"/>
      <c r="C264" s="12" t="str">
        <f>C263</f>
        <v>USB</v>
      </c>
      <c r="D264" s="31"/>
      <c r="E264" s="38"/>
      <c r="F264" s="39" t="str">
        <f>"E100038"</f>
        <v>E100038</v>
      </c>
      <c r="G264" s="40" t="str">
        <f>"1GB USB Flash Drive Pen"</f>
        <v>1GB USB Flash Drive Pen</v>
      </c>
      <c r="H264" s="41">
        <v>2.97</v>
      </c>
      <c r="I264" s="42">
        <v>433</v>
      </c>
      <c r="J264" s="43">
        <v>2352.98</v>
      </c>
      <c r="K264" s="43">
        <f>J264-(I264*H264)</f>
        <v>1066.97</v>
      </c>
      <c r="L264" s="44">
        <f>IF(J264=0,0,K264/J264)</f>
        <v>0.45345476799632806</v>
      </c>
      <c r="M264" s="45"/>
      <c r="N264" s="42">
        <v>440</v>
      </c>
      <c r="O264" s="43">
        <v>2449.6</v>
      </c>
      <c r="P264" s="43">
        <f t="shared" si="410"/>
        <v>1142.7999999999997</v>
      </c>
      <c r="Q264" s="44">
        <f t="shared" si="411"/>
        <v>0.46652514696276931</v>
      </c>
      <c r="S264" s="68">
        <f t="shared" si="412"/>
        <v>-7</v>
      </c>
      <c r="T264" s="46">
        <f t="shared" si="413"/>
        <v>-96.619999999999891</v>
      </c>
      <c r="U264" s="69">
        <f t="shared" si="414"/>
        <v>-75.8299999999997</v>
      </c>
      <c r="W264" s="70">
        <f t="shared" si="415"/>
        <v>-1.3070378966441254E-2</v>
      </c>
      <c r="X264" s="71">
        <f t="shared" si="409"/>
        <v>-1.3070378966441254E-2</v>
      </c>
    </row>
    <row r="265" spans="1:24" ht="17.25" customHeight="1" x14ac:dyDescent="0.3">
      <c r="A265" s="12" t="s">
        <v>26</v>
      </c>
      <c r="B265" s="12"/>
      <c r="C265" s="12" t="str">
        <f>C262</f>
        <v>USB</v>
      </c>
      <c r="D265" s="31"/>
      <c r="E265" s="38"/>
      <c r="F265" s="31"/>
      <c r="G265" s="31"/>
      <c r="H265" s="31"/>
      <c r="I265" s="42"/>
      <c r="J265" s="47"/>
      <c r="K265" s="47"/>
      <c r="L265" s="48"/>
      <c r="M265" s="45"/>
      <c r="N265" s="42"/>
      <c r="O265" s="47"/>
      <c r="P265" s="47"/>
      <c r="Q265" s="48"/>
      <c r="S265" s="68"/>
      <c r="T265" s="46"/>
      <c r="U265" s="69"/>
      <c r="W265" s="70"/>
      <c r="X265" s="71">
        <f t="shared" si="409"/>
        <v>0</v>
      </c>
    </row>
    <row r="266" spans="1:24" s="49" customFormat="1" ht="20.25" customHeight="1" x14ac:dyDescent="0.35">
      <c r="A266" s="50" t="s">
        <v>26</v>
      </c>
      <c r="B266" s="12"/>
      <c r="C266" s="12" t="str">
        <f>C265</f>
        <v>USB</v>
      </c>
      <c r="D266" s="31"/>
      <c r="E266" s="51"/>
      <c r="F266" s="52"/>
      <c r="G266" s="52"/>
      <c r="H266" s="53" t="str">
        <f>E261&amp;" Total"</f>
        <v>USB Total</v>
      </c>
      <c r="I266" s="54">
        <f>SUBTOTAL(9,I262:I265)</f>
        <v>1501</v>
      </c>
      <c r="J266" s="55">
        <f>SUBTOTAL(9,J262:J265)</f>
        <v>7162.9599999999991</v>
      </c>
      <c r="K266" s="55">
        <f>SUBTOTAL(9,K262:K265)</f>
        <v>3274.5999999999995</v>
      </c>
      <c r="L266" s="56">
        <f>IF(J266=0,0,K266/J266)</f>
        <v>0.45715737628019698</v>
      </c>
      <c r="M266" s="57"/>
      <c r="N266" s="54">
        <f>SUBTOTAL(9,N262:N265)</f>
        <v>1654</v>
      </c>
      <c r="O266" s="55">
        <f>SUBTOTAL(9,O262:O265)</f>
        <v>8179.7199999999993</v>
      </c>
      <c r="P266" s="55">
        <f t="shared" ref="P266" si="416">SUM(P262:P265)</f>
        <v>3870.97</v>
      </c>
      <c r="Q266" s="56">
        <f t="shared" ref="Q266" si="417">IF(O266=0,0,P266/O266)</f>
        <v>0.4732399153027243</v>
      </c>
      <c r="R266" s="58"/>
      <c r="S266" s="72">
        <f t="shared" ref="S266:U266" si="418">SUBTOTAL(9,S262:S265)</f>
        <v>-153.00000000000006</v>
      </c>
      <c r="T266" s="59">
        <f t="shared" si="418"/>
        <v>-1016.7600000000002</v>
      </c>
      <c r="U266" s="73">
        <f t="shared" si="418"/>
        <v>-596.36999999999989</v>
      </c>
      <c r="V266" s="58"/>
      <c r="W266" s="74">
        <f t="shared" ref="W266" si="419">L266-Q266</f>
        <v>-1.608253902252732E-2</v>
      </c>
      <c r="X266" s="71">
        <f t="shared" si="409"/>
        <v>-1.608253902252732E-2</v>
      </c>
    </row>
    <row r="267" spans="1:24" s="49" customFormat="1" ht="20.25" customHeight="1" x14ac:dyDescent="0.35">
      <c r="A267" s="50" t="s">
        <v>26</v>
      </c>
      <c r="B267" s="12"/>
      <c r="C267" s="12" t="str">
        <f>C266</f>
        <v>USB</v>
      </c>
      <c r="D267" s="31"/>
      <c r="E267" s="101"/>
      <c r="F267" s="102"/>
      <c r="G267" s="102"/>
      <c r="H267" s="103"/>
      <c r="I267" s="104"/>
      <c r="J267" s="105"/>
      <c r="K267" s="105"/>
      <c r="L267" s="106"/>
      <c r="M267" s="57"/>
      <c r="N267" s="104"/>
      <c r="O267" s="105"/>
      <c r="P267" s="105"/>
      <c r="Q267" s="106"/>
      <c r="R267" s="58"/>
      <c r="S267" s="107"/>
      <c r="T267" s="108"/>
      <c r="U267" s="109"/>
      <c r="V267" s="58"/>
      <c r="W267" s="110"/>
      <c r="X267" s="75"/>
    </row>
    <row r="268" spans="1:24" ht="20.25" customHeight="1" x14ac:dyDescent="0.35">
      <c r="A268" s="12" t="s">
        <v>26</v>
      </c>
      <c r="B268" s="12"/>
      <c r="C268" s="12" t="str">
        <f>E268</f>
        <v>VISOR</v>
      </c>
      <c r="D268" s="31"/>
      <c r="E268" s="32" t="str">
        <f>"VISOR"</f>
        <v>VISOR</v>
      </c>
      <c r="F268" s="33"/>
      <c r="G268" s="33"/>
      <c r="H268" s="33"/>
      <c r="I268" s="34"/>
      <c r="J268" s="31"/>
      <c r="K268" s="31"/>
      <c r="L268" s="35"/>
      <c r="N268" s="36"/>
      <c r="O268" s="33"/>
      <c r="P268" s="33"/>
      <c r="Q268" s="37"/>
      <c r="S268" s="64"/>
      <c r="T268" s="65"/>
      <c r="U268" s="66"/>
      <c r="W268" s="67"/>
      <c r="X268" s="66"/>
    </row>
    <row r="269" spans="1:24" ht="20.25" customHeight="1" x14ac:dyDescent="0.35">
      <c r="A269" s="12" t="s">
        <v>26</v>
      </c>
      <c r="B269" s="12"/>
      <c r="C269" s="12" t="str">
        <f>C268</f>
        <v>VISOR</v>
      </c>
      <c r="D269" s="31"/>
      <c r="E269" s="38"/>
      <c r="F269" s="39" t="str">
        <f>"C100027"</f>
        <v>C100027</v>
      </c>
      <c r="G269" s="40" t="str">
        <f>"Pique Visor"</f>
        <v>Pique Visor</v>
      </c>
      <c r="H269" s="41">
        <v>3.12</v>
      </c>
      <c r="I269" s="42">
        <v>1778.0000000000002</v>
      </c>
      <c r="J269" s="43">
        <v>10707.51</v>
      </c>
      <c r="K269" s="43">
        <f>J269-(I269*H269)</f>
        <v>5160.1499999999996</v>
      </c>
      <c r="L269" s="44">
        <f>IF(J269=0,0,K269/J269)</f>
        <v>0.48191876542725615</v>
      </c>
      <c r="M269" s="45"/>
      <c r="N269" s="42">
        <v>768</v>
      </c>
      <c r="O269" s="43">
        <v>4688.32</v>
      </c>
      <c r="P269" s="43">
        <f t="shared" ref="P269" si="420">O269-(N269*$H269)</f>
        <v>2292.16</v>
      </c>
      <c r="Q269" s="44">
        <f t="shared" ref="Q269" si="421">IF(O269=0,0,P269/O269)</f>
        <v>0.48890860692102928</v>
      </c>
      <c r="S269" s="68">
        <f t="shared" ref="S269" si="422">I269-N269</f>
        <v>1010.0000000000002</v>
      </c>
      <c r="T269" s="46">
        <f t="shared" ref="T269" si="423">J269-O269</f>
        <v>6019.1900000000005</v>
      </c>
      <c r="U269" s="69">
        <f t="shared" ref="U269" si="424">K269-P269</f>
        <v>2867.99</v>
      </c>
      <c r="W269" s="70">
        <f t="shared" ref="W269" si="425">L269-Q269</f>
        <v>-6.9898414937731301E-3</v>
      </c>
      <c r="X269" s="71">
        <f t="shared" ref="X269:X275" si="426">W269</f>
        <v>-6.9898414937731301E-3</v>
      </c>
    </row>
    <row r="270" spans="1:24" ht="20.25" customHeight="1" x14ac:dyDescent="0.35">
      <c r="A270" s="12" t="s">
        <v>26</v>
      </c>
      <c r="B270" s="12"/>
      <c r="C270" s="12" t="str">
        <f>C269</f>
        <v>VISOR</v>
      </c>
      <c r="D270" s="31"/>
      <c r="E270" s="38"/>
      <c r="F270" s="39" t="str">
        <f>"C100028"</f>
        <v>C100028</v>
      </c>
      <c r="G270" s="40" t="str">
        <f>"Twill Visor"</f>
        <v>Twill Visor</v>
      </c>
      <c r="H270" s="41">
        <v>2.4</v>
      </c>
      <c r="I270" s="42">
        <v>1521</v>
      </c>
      <c r="J270" s="43">
        <v>7401.03</v>
      </c>
      <c r="K270" s="43">
        <f>J270-(I270*H270)</f>
        <v>3750.6299999999997</v>
      </c>
      <c r="L270" s="44">
        <f>IF(J270=0,0,K270/J270)</f>
        <v>0.50677135479791324</v>
      </c>
      <c r="M270" s="45"/>
      <c r="N270" s="42">
        <v>1273</v>
      </c>
      <c r="O270" s="43">
        <v>6339.38</v>
      </c>
      <c r="P270" s="43">
        <f t="shared" ref="P270:P273" si="427">O270-(N270*$H270)</f>
        <v>3284.1800000000003</v>
      </c>
      <c r="Q270" s="44">
        <f t="shared" ref="Q270:Q273" si="428">IF(O270=0,0,P270/O270)</f>
        <v>0.51806012575362259</v>
      </c>
      <c r="S270" s="68">
        <f t="shared" ref="S270:S273" si="429">I270-N270</f>
        <v>248</v>
      </c>
      <c r="T270" s="46">
        <f t="shared" ref="T270:T273" si="430">J270-O270</f>
        <v>1061.6499999999996</v>
      </c>
      <c r="U270" s="69">
        <f t="shared" ref="U270:U273" si="431">K270-P270</f>
        <v>466.44999999999936</v>
      </c>
      <c r="W270" s="70">
        <f t="shared" ref="W270:W273" si="432">L270-Q270</f>
        <v>-1.1288770955709349E-2</v>
      </c>
      <c r="X270" s="71">
        <f t="shared" si="426"/>
        <v>-1.1288770955709349E-2</v>
      </c>
    </row>
    <row r="271" spans="1:24" ht="20.25" customHeight="1" x14ac:dyDescent="0.35">
      <c r="A271" s="12" t="s">
        <v>26</v>
      </c>
      <c r="B271" s="12"/>
      <c r="C271" s="12" t="str">
        <f>C270</f>
        <v>VISOR</v>
      </c>
      <c r="D271" s="31"/>
      <c r="E271" s="38"/>
      <c r="F271" s="39" t="str">
        <f>"C100029"</f>
        <v>C100029</v>
      </c>
      <c r="G271" s="40" t="str">
        <f>"Distressed Twill Visor"</f>
        <v>Distressed Twill Visor</v>
      </c>
      <c r="H271" s="41">
        <v>2.0699999999999998</v>
      </c>
      <c r="I271" s="42">
        <v>2378</v>
      </c>
      <c r="J271" s="43">
        <v>7851.0199999999995</v>
      </c>
      <c r="K271" s="43">
        <f>J271-(I271*H271)</f>
        <v>2928.5599999999995</v>
      </c>
      <c r="L271" s="44">
        <f>IF(J271=0,0,K271/J271)</f>
        <v>0.3730164997669092</v>
      </c>
      <c r="M271" s="45"/>
      <c r="N271" s="42">
        <v>1940.0000000000002</v>
      </c>
      <c r="O271" s="43">
        <v>6480.98</v>
      </c>
      <c r="P271" s="43">
        <f t="shared" si="427"/>
        <v>2465.1799999999994</v>
      </c>
      <c r="Q271" s="44">
        <f t="shared" si="428"/>
        <v>0.38037148702819629</v>
      </c>
      <c r="S271" s="68">
        <f t="shared" si="429"/>
        <v>437.99999999999977</v>
      </c>
      <c r="T271" s="46">
        <f t="shared" si="430"/>
        <v>1370.04</v>
      </c>
      <c r="U271" s="69">
        <f t="shared" si="431"/>
        <v>463.38000000000011</v>
      </c>
      <c r="W271" s="70">
        <f t="shared" si="432"/>
        <v>-7.3549872612870826E-3</v>
      </c>
      <c r="X271" s="71">
        <f t="shared" si="426"/>
        <v>-7.3549872612870826E-3</v>
      </c>
    </row>
    <row r="272" spans="1:24" ht="20.25" customHeight="1" x14ac:dyDescent="0.35">
      <c r="A272" s="12" t="s">
        <v>26</v>
      </c>
      <c r="B272" s="12"/>
      <c r="C272" s="12" t="str">
        <f>C271</f>
        <v>VISOR</v>
      </c>
      <c r="D272" s="31"/>
      <c r="E272" s="38"/>
      <c r="F272" s="39" t="str">
        <f>"C100030"</f>
        <v>C100030</v>
      </c>
      <c r="G272" s="40" t="str">
        <f>"Fashion Visor"</f>
        <v>Fashion Visor</v>
      </c>
      <c r="H272" s="41">
        <v>2.42</v>
      </c>
      <c r="I272" s="42">
        <v>1393</v>
      </c>
      <c r="J272" s="43">
        <v>5934.86</v>
      </c>
      <c r="K272" s="43">
        <f>J272-(I272*H272)</f>
        <v>2563.7999999999997</v>
      </c>
      <c r="L272" s="44">
        <f>IF(J272=0,0,K272/J272)</f>
        <v>0.43198997111979048</v>
      </c>
      <c r="M272" s="45"/>
      <c r="N272" s="42">
        <v>1950.9999999999998</v>
      </c>
      <c r="O272" s="43">
        <v>8296.91</v>
      </c>
      <c r="P272" s="43">
        <f t="shared" si="427"/>
        <v>3575.4900000000007</v>
      </c>
      <c r="Q272" s="44">
        <f t="shared" si="428"/>
        <v>0.43094236287967458</v>
      </c>
      <c r="S272" s="68">
        <f t="shared" si="429"/>
        <v>-557.99999999999977</v>
      </c>
      <c r="T272" s="46">
        <f t="shared" si="430"/>
        <v>-2362.0500000000002</v>
      </c>
      <c r="U272" s="69">
        <f t="shared" si="431"/>
        <v>-1011.690000000001</v>
      </c>
      <c r="W272" s="70">
        <f t="shared" si="432"/>
        <v>1.0476082401159048E-3</v>
      </c>
      <c r="X272" s="71">
        <f t="shared" si="426"/>
        <v>1.0476082401159048E-3</v>
      </c>
    </row>
    <row r="273" spans="1:24" ht="20.25" customHeight="1" x14ac:dyDescent="0.35">
      <c r="A273" s="12" t="s">
        <v>26</v>
      </c>
      <c r="B273" s="12"/>
      <c r="C273" s="12" t="str">
        <f>C272</f>
        <v>VISOR</v>
      </c>
      <c r="D273" s="31"/>
      <c r="E273" s="38"/>
      <c r="F273" s="39" t="str">
        <f>"E100011"</f>
        <v>E100011</v>
      </c>
      <c r="G273" s="40" t="str">
        <f>"Plastic Sun Visor"</f>
        <v>Plastic Sun Visor</v>
      </c>
      <c r="H273" s="41">
        <v>0.42</v>
      </c>
      <c r="I273" s="42">
        <v>2797</v>
      </c>
      <c r="J273" s="43">
        <v>2176.56</v>
      </c>
      <c r="K273" s="43">
        <f>J273-(I273*H273)</f>
        <v>1001.8199999999999</v>
      </c>
      <c r="L273" s="44">
        <f>IF(J273=0,0,K273/J273)</f>
        <v>0.46027676700849046</v>
      </c>
      <c r="M273" s="45"/>
      <c r="N273" s="42">
        <v>1263</v>
      </c>
      <c r="O273" s="43">
        <v>997.78000000000009</v>
      </c>
      <c r="P273" s="43">
        <f t="shared" si="427"/>
        <v>467.32000000000005</v>
      </c>
      <c r="Q273" s="44">
        <f t="shared" si="428"/>
        <v>0.46835975866423463</v>
      </c>
      <c r="S273" s="68">
        <f t="shared" si="429"/>
        <v>1534</v>
      </c>
      <c r="T273" s="46">
        <f t="shared" si="430"/>
        <v>1178.7799999999997</v>
      </c>
      <c r="U273" s="69">
        <f t="shared" si="431"/>
        <v>534.49999999999989</v>
      </c>
      <c r="W273" s="70">
        <f t="shared" si="432"/>
        <v>-8.082991655744165E-3</v>
      </c>
      <c r="X273" s="71">
        <f t="shared" si="426"/>
        <v>-8.082991655744165E-3</v>
      </c>
    </row>
    <row r="274" spans="1:24" ht="17.25" customHeight="1" x14ac:dyDescent="0.3">
      <c r="A274" s="12" t="s">
        <v>26</v>
      </c>
      <c r="B274" s="12"/>
      <c r="C274" s="12" t="str">
        <f>C269</f>
        <v>VISOR</v>
      </c>
      <c r="D274" s="31"/>
      <c r="E274" s="38"/>
      <c r="F274" s="31"/>
      <c r="G274" s="31"/>
      <c r="H274" s="31"/>
      <c r="I274" s="42"/>
      <c r="J274" s="47"/>
      <c r="K274" s="47"/>
      <c r="L274" s="48"/>
      <c r="M274" s="45"/>
      <c r="N274" s="42"/>
      <c r="O274" s="47"/>
      <c r="P274" s="47"/>
      <c r="Q274" s="48"/>
      <c r="S274" s="68"/>
      <c r="T274" s="46"/>
      <c r="U274" s="69"/>
      <c r="W274" s="70"/>
      <c r="X274" s="71">
        <f t="shared" si="426"/>
        <v>0</v>
      </c>
    </row>
    <row r="275" spans="1:24" s="49" customFormat="1" ht="20.25" customHeight="1" x14ac:dyDescent="0.35">
      <c r="A275" s="50" t="s">
        <v>26</v>
      </c>
      <c r="B275" s="12"/>
      <c r="C275" s="12" t="str">
        <f t="shared" ref="C269:C276" si="433">C274</f>
        <v>VISOR</v>
      </c>
      <c r="D275" s="31"/>
      <c r="E275" s="51"/>
      <c r="F275" s="52"/>
      <c r="G275" s="52"/>
      <c r="H275" s="53" t="str">
        <f t="shared" ref="H275" si="434">E268&amp;" Total"</f>
        <v>VISOR Total</v>
      </c>
      <c r="I275" s="54">
        <f t="shared" ref="I275:K275" si="435">SUBTOTAL(9,I269:I274)</f>
        <v>9867</v>
      </c>
      <c r="J275" s="55">
        <f t="shared" si="435"/>
        <v>34070.980000000003</v>
      </c>
      <c r="K275" s="55">
        <f t="shared" si="435"/>
        <v>15404.959999999997</v>
      </c>
      <c r="L275" s="56">
        <f t="shared" ref="L275" si="436">IF(J275=0,0,K275/J275)</f>
        <v>0.45214314351979296</v>
      </c>
      <c r="M275" s="57"/>
      <c r="N275" s="54">
        <f t="shared" ref="N275:O275" si="437">SUBTOTAL(9,N269:N274)</f>
        <v>7195</v>
      </c>
      <c r="O275" s="55">
        <f t="shared" si="437"/>
        <v>26803.37</v>
      </c>
      <c r="P275" s="55">
        <f t="shared" ref="P275" si="438">SUM(P269:P274)</f>
        <v>12084.33</v>
      </c>
      <c r="Q275" s="56">
        <f t="shared" ref="Q275" si="439">IF(O275=0,0,P275/O275)</f>
        <v>0.45085114297194717</v>
      </c>
      <c r="R275" s="58"/>
      <c r="S275" s="72">
        <f t="shared" ref="S275:U275" si="440">SUBTOTAL(9,S269:S274)</f>
        <v>2672</v>
      </c>
      <c r="T275" s="59">
        <f t="shared" si="440"/>
        <v>7267.6100000000006</v>
      </c>
      <c r="U275" s="73">
        <f t="shared" si="440"/>
        <v>3320.6299999999983</v>
      </c>
      <c r="V275" s="58"/>
      <c r="W275" s="74">
        <f t="shared" ref="W275:W276" si="441">L275-Q275</f>
        <v>1.2920005478457841E-3</v>
      </c>
      <c r="X275" s="71">
        <f t="shared" si="426"/>
        <v>1.2920005478457841E-3</v>
      </c>
    </row>
    <row r="276" spans="1:24" s="49" customFormat="1" ht="20.25" customHeight="1" x14ac:dyDescent="0.35">
      <c r="A276" s="50" t="s">
        <v>26</v>
      </c>
      <c r="B276" s="12"/>
      <c r="C276" s="12" t="str">
        <f t="shared" si="433"/>
        <v>VISOR</v>
      </c>
      <c r="D276" s="31"/>
      <c r="E276" s="101"/>
      <c r="F276" s="102"/>
      <c r="G276" s="102"/>
      <c r="H276" s="103"/>
      <c r="I276" s="104"/>
      <c r="J276" s="105"/>
      <c r="K276" s="105"/>
      <c r="L276" s="106"/>
      <c r="M276" s="57"/>
      <c r="N276" s="104"/>
      <c r="O276" s="105"/>
      <c r="P276" s="105"/>
      <c r="Q276" s="106"/>
      <c r="R276" s="58"/>
      <c r="S276" s="107"/>
      <c r="T276" s="108"/>
      <c r="U276" s="109"/>
      <c r="V276" s="58"/>
      <c r="W276" s="110"/>
      <c r="X276" s="75"/>
    </row>
    <row r="277" spans="1:24" ht="17.25" hidden="1" customHeight="1" x14ac:dyDescent="0.3">
      <c r="A277" s="12" t="s">
        <v>11</v>
      </c>
      <c r="B277" s="12"/>
      <c r="C277" s="12" t="str">
        <f>C26</f>
        <v>A-TROPHY</v>
      </c>
      <c r="D277" s="31"/>
      <c r="E277" s="90"/>
      <c r="F277" s="91"/>
      <c r="G277" s="91"/>
      <c r="H277" s="92"/>
      <c r="I277" s="93"/>
      <c r="J277" s="94"/>
      <c r="K277" s="94"/>
      <c r="L277" s="95"/>
      <c r="M277" s="45"/>
      <c r="N277" s="93"/>
      <c r="O277" s="94"/>
      <c r="P277" s="94"/>
      <c r="Q277" s="95"/>
      <c r="S277" s="96"/>
      <c r="T277" s="97"/>
      <c r="U277" s="98"/>
      <c r="W277" s="99"/>
      <c r="X277" s="100">
        <f>W277</f>
        <v>0</v>
      </c>
    </row>
    <row r="278" spans="1:24" ht="20.25" customHeight="1" x14ac:dyDescent="0.5">
      <c r="A278" s="12"/>
      <c r="B278" s="12"/>
      <c r="C278" s="12" t="str">
        <f>C277</f>
        <v>A-TROPHY</v>
      </c>
      <c r="D278" s="31"/>
      <c r="E278" s="60"/>
      <c r="F278" s="61"/>
      <c r="G278" s="61"/>
      <c r="H278" s="62" t="s">
        <v>27</v>
      </c>
      <c r="I278" s="87">
        <f>SUBTOTAL(9,I13:I277)</f>
        <v>119838</v>
      </c>
      <c r="J278" s="88">
        <f>SUBTOTAL(9,J13:J277)</f>
        <v>1016563.5099999995</v>
      </c>
      <c r="K278" s="88">
        <f>SUBTOTAL(9,K13:K277)</f>
        <v>447557.63089999981</v>
      </c>
      <c r="L278" s="89">
        <f>IF(J278=0,0,K278/J278)</f>
        <v>0.44026529232787437</v>
      </c>
      <c r="M278" s="80"/>
      <c r="N278" s="87">
        <f>SUBTOTAL(9,N13:N277)</f>
        <v>93929</v>
      </c>
      <c r="O278" s="88">
        <f>SUBTOTAL(9,O13:O277)</f>
        <v>732198.06</v>
      </c>
      <c r="P278" s="88">
        <f>SUM(P13:P277)/2</f>
        <v>331375.39620000002</v>
      </c>
      <c r="Q278" s="89">
        <f>IF(O278=0,0,P278/O278)</f>
        <v>0.45257617344684031</v>
      </c>
      <c r="R278" s="81"/>
      <c r="S278" s="82">
        <f>SUBTOTAL(9,S13:S277)</f>
        <v>25909</v>
      </c>
      <c r="T278" s="83">
        <f>SUBTOTAL(9,T13:T277)</f>
        <v>284365.4499999999</v>
      </c>
      <c r="U278" s="84">
        <f>SUBTOTAL(9,U13:U277)</f>
        <v>116182.23470000002</v>
      </c>
      <c r="V278" s="81"/>
      <c r="W278" s="85">
        <f>L278-Q278</f>
        <v>-1.2310881118965944E-2</v>
      </c>
      <c r="X278" s="86">
        <f>W278</f>
        <v>-1.2310881118965944E-2</v>
      </c>
    </row>
    <row r="279" spans="1:24" ht="17.25" customHeight="1" x14ac:dyDescent="0.3">
      <c r="A279" s="12"/>
      <c r="B279" s="12"/>
      <c r="C279" s="12"/>
    </row>
    <row r="280" spans="1:24" ht="17.25" customHeight="1" x14ac:dyDescent="0.3">
      <c r="A280" s="12"/>
      <c r="B280" s="12"/>
      <c r="C280" s="12"/>
    </row>
    <row r="281" spans="1:24" ht="17.25" customHeight="1" x14ac:dyDescent="0.3">
      <c r="A281" s="12"/>
      <c r="B281" s="12"/>
      <c r="C281" s="12"/>
    </row>
    <row r="282" spans="1:24" ht="17.25" customHeight="1" x14ac:dyDescent="0.3">
      <c r="A282" s="12"/>
      <c r="B282" s="12"/>
      <c r="C282" s="12"/>
    </row>
    <row r="283" spans="1:24" ht="17.25" customHeight="1" x14ac:dyDescent="0.3">
      <c r="A283" s="12"/>
      <c r="B283" s="12"/>
      <c r="C283" s="12"/>
    </row>
    <row r="284" spans="1:24" ht="17.25" customHeight="1" x14ac:dyDescent="0.3">
      <c r="A284" s="12"/>
      <c r="B284" s="12"/>
      <c r="C284" s="12"/>
    </row>
    <row r="285" spans="1:24" ht="17.25" customHeight="1" x14ac:dyDescent="0.3">
      <c r="A285" s="12"/>
      <c r="B285" s="12"/>
      <c r="C285" s="12"/>
    </row>
    <row r="286" spans="1:24" ht="17.25" customHeight="1" x14ac:dyDescent="0.3">
      <c r="A286" s="12"/>
      <c r="B286" s="12"/>
      <c r="C286" s="12"/>
    </row>
    <row r="287" spans="1:24" ht="17.25" customHeight="1" x14ac:dyDescent="0.3">
      <c r="A287" s="12"/>
      <c r="B287" s="12"/>
      <c r="C287" s="12"/>
    </row>
    <row r="288" spans="1:24" ht="17.25" customHeight="1" x14ac:dyDescent="0.3">
      <c r="A288" s="12"/>
      <c r="B288" s="12"/>
      <c r="C288" s="12"/>
    </row>
    <row r="289" spans="1:26" ht="17.25" customHeight="1" x14ac:dyDescent="0.3">
      <c r="A289" s="12"/>
      <c r="B289" s="12"/>
      <c r="C289" s="12"/>
    </row>
    <row r="290" spans="1:26" ht="17.25" customHeight="1" x14ac:dyDescent="0.3">
      <c r="A290" s="12"/>
      <c r="B290" s="12"/>
      <c r="C290" s="12"/>
    </row>
    <row r="291" spans="1:26" ht="17.25" customHeight="1" x14ac:dyDescent="0.3">
      <c r="A291" s="12"/>
      <c r="B291" s="12"/>
      <c r="C291" s="12"/>
    </row>
    <row r="292" spans="1:26" ht="17.25" customHeight="1" x14ac:dyDescent="0.3">
      <c r="A292" s="12"/>
      <c r="B292" s="12"/>
      <c r="C292" s="12"/>
    </row>
    <row r="293" spans="1:26" ht="17.25" customHeight="1" x14ac:dyDescent="0.3">
      <c r="A293" s="12"/>
      <c r="B293" s="12"/>
      <c r="C293" s="12"/>
    </row>
    <row r="294" spans="1:26" ht="17.25" customHeight="1" x14ac:dyDescent="0.3">
      <c r="A294" s="12"/>
      <c r="B294" s="12"/>
      <c r="C294" s="12"/>
    </row>
    <row r="295" spans="1:26" ht="17.25" customHeight="1" x14ac:dyDescent="0.3">
      <c r="A295" s="12"/>
      <c r="B295" s="12"/>
      <c r="C295" s="12"/>
    </row>
    <row r="296" spans="1:26" ht="17.25" customHeight="1" x14ac:dyDescent="0.3">
      <c r="A296" s="12"/>
      <c r="B296" s="12"/>
      <c r="C296" s="12"/>
    </row>
    <row r="297" spans="1:26" ht="17.25" customHeight="1" x14ac:dyDescent="0.3">
      <c r="A297" s="12"/>
      <c r="B297" s="12"/>
      <c r="C297" s="12"/>
    </row>
    <row r="298" spans="1:26" ht="17.25" customHeight="1" x14ac:dyDescent="0.3">
      <c r="Y298" s="127"/>
    </row>
    <row r="299" spans="1:26" ht="17.25" customHeight="1" x14ac:dyDescent="0.3">
      <c r="Z299" s="127"/>
    </row>
  </sheetData>
  <mergeCells count="5">
    <mergeCell ref="E4:H4"/>
    <mergeCell ref="I8:L8"/>
    <mergeCell ref="N8:Q8"/>
    <mergeCell ref="S10:X10"/>
    <mergeCell ref="W11:X11"/>
  </mergeCells>
  <conditionalFormatting sqref="X277:X278 X13 X24:X26">
    <cfRule type="dataBar" priority="702">
      <dataBar showValue="0">
        <cfvo type="min"/>
        <cfvo type="max"/>
        <color theme="9" tint="0.39997558519241921"/>
      </dataBar>
      <extLst>
        <ext xmlns:x14="http://schemas.microsoft.com/office/spreadsheetml/2009/9/main" uri="{B025F937-C7B1-47D3-B67F-A62EFF666E3E}">
          <x14:id>{ADE1B45E-716D-4C56-A437-05CD85FAD542}</x14:id>
        </ext>
      </extLst>
    </cfRule>
  </conditionalFormatting>
  <conditionalFormatting sqref="X28 X37 X46:X49 X51 X60 X69:X72 X74 X83 X106 X115 X124 X133 X142 X151 X160 X169 X178 X186 X195 X204 X213 X237 X246 X255 X262 X269 X274:X276 X265:X267 X258:X260 X251:X253 X242:X244 X233:X235 X209:X211 X200:X202 X191:X193 X182:X184 X174:X176 X165:X167 X156:X158 X147:X149 X138:X140 X129:X131 X120:X122 X111:X113 X102:X104 X79:X81 X65:X67 X56:X58 X42:X44 X33:X35">
    <cfRule type="dataBar" priority="51">
      <dataBar showValue="0">
        <cfvo type="min"/>
        <cfvo type="max"/>
        <color theme="9" tint="0.39997558519241921"/>
      </dataBar>
      <extLst>
        <ext xmlns:x14="http://schemas.microsoft.com/office/spreadsheetml/2009/9/main" uri="{B025F937-C7B1-47D3-B67F-A62EFF666E3E}">
          <x14:id>{1C25A6C9-DE76-442E-9238-45DC1B5AC8EE}</x14:id>
        </ext>
      </extLst>
    </cfRule>
  </conditionalFormatting>
  <conditionalFormatting sqref="X14:X23">
    <cfRule type="dataBar" priority="49">
      <dataBar showValue="0">
        <cfvo type="min"/>
        <cfvo type="max"/>
        <color theme="9" tint="0.39997558519241921"/>
      </dataBar>
      <extLst>
        <ext xmlns:x14="http://schemas.microsoft.com/office/spreadsheetml/2009/9/main" uri="{B025F937-C7B1-47D3-B67F-A62EFF666E3E}">
          <x14:id>{9A5250D8-10BE-416E-BB14-3750A6372D3E}</x14:id>
        </ext>
      </extLst>
    </cfRule>
  </conditionalFormatting>
  <conditionalFormatting sqref="X270:X273">
    <cfRule type="dataBar" priority="47">
      <dataBar showValue="0">
        <cfvo type="min"/>
        <cfvo type="max"/>
        <color theme="9" tint="0.39997558519241921"/>
      </dataBar>
      <extLst>
        <ext xmlns:x14="http://schemas.microsoft.com/office/spreadsheetml/2009/9/main" uri="{B025F937-C7B1-47D3-B67F-A62EFF666E3E}">
          <x14:id>{9D5E2E63-CA8A-47AD-A789-E227A01DF27E}</x14:id>
        </ext>
      </extLst>
    </cfRule>
  </conditionalFormatting>
  <conditionalFormatting sqref="X263:X264">
    <cfRule type="dataBar" priority="45">
      <dataBar showValue="0">
        <cfvo type="min"/>
        <cfvo type="max"/>
        <color theme="9" tint="0.39997558519241921"/>
      </dataBar>
      <extLst>
        <ext xmlns:x14="http://schemas.microsoft.com/office/spreadsheetml/2009/9/main" uri="{B025F937-C7B1-47D3-B67F-A62EFF666E3E}">
          <x14:id>{2D0A1F9B-3FF8-4D1D-B9A2-71503944A477}</x14:id>
        </ext>
      </extLst>
    </cfRule>
  </conditionalFormatting>
  <conditionalFormatting sqref="X256:X257">
    <cfRule type="dataBar" priority="43">
      <dataBar showValue="0">
        <cfvo type="min"/>
        <cfvo type="max"/>
        <color theme="9" tint="0.39997558519241921"/>
      </dataBar>
      <extLst>
        <ext xmlns:x14="http://schemas.microsoft.com/office/spreadsheetml/2009/9/main" uri="{B025F937-C7B1-47D3-B67F-A62EFF666E3E}">
          <x14:id>{60BF1122-355A-4B51-B589-982BFADA6E10}</x14:id>
        </ext>
      </extLst>
    </cfRule>
  </conditionalFormatting>
  <conditionalFormatting sqref="X247:X250">
    <cfRule type="dataBar" priority="41">
      <dataBar showValue="0">
        <cfvo type="min"/>
        <cfvo type="max"/>
        <color theme="9" tint="0.39997558519241921"/>
      </dataBar>
      <extLst>
        <ext xmlns:x14="http://schemas.microsoft.com/office/spreadsheetml/2009/9/main" uri="{B025F937-C7B1-47D3-B67F-A62EFF666E3E}">
          <x14:id>{A7D4CD74-DBF9-4C3B-AAC8-195640DD7180}</x14:id>
        </ext>
      </extLst>
    </cfRule>
  </conditionalFormatting>
  <conditionalFormatting sqref="X238:X241">
    <cfRule type="dataBar" priority="39">
      <dataBar showValue="0">
        <cfvo type="min"/>
        <cfvo type="max"/>
        <color theme="9" tint="0.39997558519241921"/>
      </dataBar>
      <extLst>
        <ext xmlns:x14="http://schemas.microsoft.com/office/spreadsheetml/2009/9/main" uri="{B025F937-C7B1-47D3-B67F-A62EFF666E3E}">
          <x14:id>{936D39CB-09C4-467D-AA05-31DEE078662D}</x14:id>
        </ext>
      </extLst>
    </cfRule>
  </conditionalFormatting>
  <conditionalFormatting sqref="X214:X232">
    <cfRule type="dataBar" priority="37">
      <dataBar showValue="0">
        <cfvo type="min"/>
        <cfvo type="max"/>
        <color theme="9" tint="0.39997558519241921"/>
      </dataBar>
      <extLst>
        <ext xmlns:x14="http://schemas.microsoft.com/office/spreadsheetml/2009/9/main" uri="{B025F937-C7B1-47D3-B67F-A62EFF666E3E}">
          <x14:id>{BC56234C-1BDF-4728-9C94-2E42F3BDB4C7}</x14:id>
        </ext>
      </extLst>
    </cfRule>
  </conditionalFormatting>
  <conditionalFormatting sqref="X205:X208">
    <cfRule type="dataBar" priority="35">
      <dataBar showValue="0">
        <cfvo type="min"/>
        <cfvo type="max"/>
        <color theme="9" tint="0.39997558519241921"/>
      </dataBar>
      <extLst>
        <ext xmlns:x14="http://schemas.microsoft.com/office/spreadsheetml/2009/9/main" uri="{B025F937-C7B1-47D3-B67F-A62EFF666E3E}">
          <x14:id>{819CA42E-FC17-4BB4-B509-2F41A084B22B}</x14:id>
        </ext>
      </extLst>
    </cfRule>
  </conditionalFormatting>
  <conditionalFormatting sqref="X196:X199">
    <cfRule type="dataBar" priority="33">
      <dataBar showValue="0">
        <cfvo type="min"/>
        <cfvo type="max"/>
        <color theme="9" tint="0.39997558519241921"/>
      </dataBar>
      <extLst>
        <ext xmlns:x14="http://schemas.microsoft.com/office/spreadsheetml/2009/9/main" uri="{B025F937-C7B1-47D3-B67F-A62EFF666E3E}">
          <x14:id>{C0125046-68EE-4B23-83CF-6430691126FD}</x14:id>
        </ext>
      </extLst>
    </cfRule>
  </conditionalFormatting>
  <conditionalFormatting sqref="X187:X190">
    <cfRule type="dataBar" priority="31">
      <dataBar showValue="0">
        <cfvo type="min"/>
        <cfvo type="max"/>
        <color theme="9" tint="0.39997558519241921"/>
      </dataBar>
      <extLst>
        <ext xmlns:x14="http://schemas.microsoft.com/office/spreadsheetml/2009/9/main" uri="{B025F937-C7B1-47D3-B67F-A62EFF666E3E}">
          <x14:id>{103430E3-B2F0-4C1D-BDE0-4F6F80EC830D}</x14:id>
        </ext>
      </extLst>
    </cfRule>
  </conditionalFormatting>
  <conditionalFormatting sqref="X179:X181">
    <cfRule type="dataBar" priority="29">
      <dataBar showValue="0">
        <cfvo type="min"/>
        <cfvo type="max"/>
        <color theme="9" tint="0.39997558519241921"/>
      </dataBar>
      <extLst>
        <ext xmlns:x14="http://schemas.microsoft.com/office/spreadsheetml/2009/9/main" uri="{B025F937-C7B1-47D3-B67F-A62EFF666E3E}">
          <x14:id>{314F6980-F672-4AF5-AF0B-22BB8CE9D3BF}</x14:id>
        </ext>
      </extLst>
    </cfRule>
  </conditionalFormatting>
  <conditionalFormatting sqref="X170:X173">
    <cfRule type="dataBar" priority="27">
      <dataBar showValue="0">
        <cfvo type="min"/>
        <cfvo type="max"/>
        <color theme="9" tint="0.39997558519241921"/>
      </dataBar>
      <extLst>
        <ext xmlns:x14="http://schemas.microsoft.com/office/spreadsheetml/2009/9/main" uri="{B025F937-C7B1-47D3-B67F-A62EFF666E3E}">
          <x14:id>{18E296E4-EF3B-4DB3-94BD-8BB7A9704DDC}</x14:id>
        </ext>
      </extLst>
    </cfRule>
  </conditionalFormatting>
  <conditionalFormatting sqref="X161:X164">
    <cfRule type="dataBar" priority="25">
      <dataBar showValue="0">
        <cfvo type="min"/>
        <cfvo type="max"/>
        <color theme="9" tint="0.39997558519241921"/>
      </dataBar>
      <extLst>
        <ext xmlns:x14="http://schemas.microsoft.com/office/spreadsheetml/2009/9/main" uri="{B025F937-C7B1-47D3-B67F-A62EFF666E3E}">
          <x14:id>{9F68AEB3-E715-4F82-95CA-4F907E936A6E}</x14:id>
        </ext>
      </extLst>
    </cfRule>
  </conditionalFormatting>
  <conditionalFormatting sqref="X152:X155">
    <cfRule type="dataBar" priority="23">
      <dataBar showValue="0">
        <cfvo type="min"/>
        <cfvo type="max"/>
        <color theme="9" tint="0.39997558519241921"/>
      </dataBar>
      <extLst>
        <ext xmlns:x14="http://schemas.microsoft.com/office/spreadsheetml/2009/9/main" uri="{B025F937-C7B1-47D3-B67F-A62EFF666E3E}">
          <x14:id>{0C71971C-A4B6-4E69-9CD9-B3384FA49782}</x14:id>
        </ext>
      </extLst>
    </cfRule>
  </conditionalFormatting>
  <conditionalFormatting sqref="X143:X146">
    <cfRule type="dataBar" priority="21">
      <dataBar showValue="0">
        <cfvo type="min"/>
        <cfvo type="max"/>
        <color theme="9" tint="0.39997558519241921"/>
      </dataBar>
      <extLst>
        <ext xmlns:x14="http://schemas.microsoft.com/office/spreadsheetml/2009/9/main" uri="{B025F937-C7B1-47D3-B67F-A62EFF666E3E}">
          <x14:id>{24EB8827-5CAA-46BB-BBD0-11D5D7DF9A3E}</x14:id>
        </ext>
      </extLst>
    </cfRule>
  </conditionalFormatting>
  <conditionalFormatting sqref="X134:X137">
    <cfRule type="dataBar" priority="19">
      <dataBar showValue="0">
        <cfvo type="min"/>
        <cfvo type="max"/>
        <color theme="9" tint="0.39997558519241921"/>
      </dataBar>
      <extLst>
        <ext xmlns:x14="http://schemas.microsoft.com/office/spreadsheetml/2009/9/main" uri="{B025F937-C7B1-47D3-B67F-A62EFF666E3E}">
          <x14:id>{F6214379-589C-411A-BC6B-11B893A91353}</x14:id>
        </ext>
      </extLst>
    </cfRule>
  </conditionalFormatting>
  <conditionalFormatting sqref="X125:X128">
    <cfRule type="dataBar" priority="17">
      <dataBar showValue="0">
        <cfvo type="min"/>
        <cfvo type="max"/>
        <color theme="9" tint="0.39997558519241921"/>
      </dataBar>
      <extLst>
        <ext xmlns:x14="http://schemas.microsoft.com/office/spreadsheetml/2009/9/main" uri="{B025F937-C7B1-47D3-B67F-A62EFF666E3E}">
          <x14:id>{5AFD7E87-4BC3-41DD-BD8B-1208FDCDBB5D}</x14:id>
        </ext>
      </extLst>
    </cfRule>
  </conditionalFormatting>
  <conditionalFormatting sqref="X116:X119">
    <cfRule type="dataBar" priority="15">
      <dataBar showValue="0">
        <cfvo type="min"/>
        <cfvo type="max"/>
        <color theme="9" tint="0.39997558519241921"/>
      </dataBar>
      <extLst>
        <ext xmlns:x14="http://schemas.microsoft.com/office/spreadsheetml/2009/9/main" uri="{B025F937-C7B1-47D3-B67F-A62EFF666E3E}">
          <x14:id>{E7C33063-B464-4085-B60C-2319A06E4786}</x14:id>
        </ext>
      </extLst>
    </cfRule>
  </conditionalFormatting>
  <conditionalFormatting sqref="X107:X110">
    <cfRule type="dataBar" priority="13">
      <dataBar showValue="0">
        <cfvo type="min"/>
        <cfvo type="max"/>
        <color theme="9" tint="0.39997558519241921"/>
      </dataBar>
      <extLst>
        <ext xmlns:x14="http://schemas.microsoft.com/office/spreadsheetml/2009/9/main" uri="{B025F937-C7B1-47D3-B67F-A62EFF666E3E}">
          <x14:id>{5A95219F-BC6E-41B2-9B3C-01A63E386D41}</x14:id>
        </ext>
      </extLst>
    </cfRule>
  </conditionalFormatting>
  <conditionalFormatting sqref="X84:X101">
    <cfRule type="dataBar" priority="11">
      <dataBar showValue="0">
        <cfvo type="min"/>
        <cfvo type="max"/>
        <color theme="9" tint="0.39997558519241921"/>
      </dataBar>
      <extLst>
        <ext xmlns:x14="http://schemas.microsoft.com/office/spreadsheetml/2009/9/main" uri="{B025F937-C7B1-47D3-B67F-A62EFF666E3E}">
          <x14:id>{2B49A060-3B67-4457-A26D-BA0F401D80AD}</x14:id>
        </ext>
      </extLst>
    </cfRule>
  </conditionalFormatting>
  <conditionalFormatting sqref="X75:X78">
    <cfRule type="dataBar" priority="9">
      <dataBar showValue="0">
        <cfvo type="min"/>
        <cfvo type="max"/>
        <color theme="9" tint="0.39997558519241921"/>
      </dataBar>
      <extLst>
        <ext xmlns:x14="http://schemas.microsoft.com/office/spreadsheetml/2009/9/main" uri="{B025F937-C7B1-47D3-B67F-A62EFF666E3E}">
          <x14:id>{9DD09FCB-C069-4875-BF55-5A36F6E39432}</x14:id>
        </ext>
      </extLst>
    </cfRule>
  </conditionalFormatting>
  <conditionalFormatting sqref="X61:X64">
    <cfRule type="dataBar" priority="7">
      <dataBar showValue="0">
        <cfvo type="min"/>
        <cfvo type="max"/>
        <color theme="9" tint="0.39997558519241921"/>
      </dataBar>
      <extLst>
        <ext xmlns:x14="http://schemas.microsoft.com/office/spreadsheetml/2009/9/main" uri="{B025F937-C7B1-47D3-B67F-A62EFF666E3E}">
          <x14:id>{EE3910D3-2CB4-418B-81C8-DE499B7DF3E2}</x14:id>
        </ext>
      </extLst>
    </cfRule>
  </conditionalFormatting>
  <conditionalFormatting sqref="X52:X55">
    <cfRule type="dataBar" priority="5">
      <dataBar showValue="0">
        <cfvo type="min"/>
        <cfvo type="max"/>
        <color theme="9" tint="0.39997558519241921"/>
      </dataBar>
      <extLst>
        <ext xmlns:x14="http://schemas.microsoft.com/office/spreadsheetml/2009/9/main" uri="{B025F937-C7B1-47D3-B67F-A62EFF666E3E}">
          <x14:id>{AE56D84E-4A57-4EA0-A93E-694345C8E096}</x14:id>
        </ext>
      </extLst>
    </cfRule>
  </conditionalFormatting>
  <conditionalFormatting sqref="X38:X41">
    <cfRule type="dataBar" priority="3">
      <dataBar showValue="0">
        <cfvo type="min"/>
        <cfvo type="max"/>
        <color theme="9" tint="0.39997558519241921"/>
      </dataBar>
      <extLst>
        <ext xmlns:x14="http://schemas.microsoft.com/office/spreadsheetml/2009/9/main" uri="{B025F937-C7B1-47D3-B67F-A62EFF666E3E}">
          <x14:id>{8876CCE1-9BBF-4FFE-89BD-2C38C9A535E4}</x14:id>
        </ext>
      </extLst>
    </cfRule>
  </conditionalFormatting>
  <conditionalFormatting sqref="X29:X32">
    <cfRule type="dataBar" priority="1">
      <dataBar showValue="0">
        <cfvo type="min"/>
        <cfvo type="max"/>
        <color theme="9" tint="0.39997558519241921"/>
      </dataBar>
      <extLst>
        <ext xmlns:x14="http://schemas.microsoft.com/office/spreadsheetml/2009/9/main" uri="{B025F937-C7B1-47D3-B67F-A62EFF666E3E}">
          <x14:id>{287E5B41-B1B5-42C1-90D4-BBC309201C7D}</x14:id>
        </ext>
      </extLst>
    </cfRule>
  </conditionalFormatting>
  <pageMargins left="0.75" right="0.75" top="1" bottom="1" header="0.5" footer="0.5"/>
  <pageSetup orientation="portrait" r:id="rId1"/>
  <extLst>
    <ext xmlns:x14="http://schemas.microsoft.com/office/spreadsheetml/2009/9/main" uri="{78C0D931-6437-407d-A8EE-F0AAD7539E65}">
      <x14:conditionalFormattings>
        <x14:conditionalFormatting xmlns:xm="http://schemas.microsoft.com/office/excel/2006/main">
          <x14:cfRule type="dataBar" id="{ADE1B45E-716D-4C56-A437-05CD85FAD542}">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X277:X278 X13 X24:X26</xm:sqref>
        </x14:conditionalFormatting>
        <x14:conditionalFormatting xmlns:xm="http://schemas.microsoft.com/office/excel/2006/main">
          <x14:cfRule type="iconSet" priority="704" id="{AB360E19-22B8-41BE-BBC5-E281FAF2C3B9}">
            <x14:iconSet iconSet="3Triangles" custom="1">
              <x14:cfvo type="percent">
                <xm:f>0</xm:f>
              </x14:cfvo>
              <x14:cfvo type="num">
                <xm:f>-1000</xm:f>
              </x14:cfvo>
              <x14:cfvo type="num">
                <xm:f>1000</xm:f>
              </x14:cfvo>
              <x14:cfIcon iconSet="3Triangles" iconId="0"/>
              <x14:cfIcon iconSet="NoIcons" iconId="0"/>
              <x14:cfIcon iconSet="3Triangles" iconId="2"/>
            </x14:iconSet>
          </x14:cfRule>
          <xm:sqref>S13:U13 S24:U24</xm:sqref>
        </x14:conditionalFormatting>
        <x14:conditionalFormatting xmlns:xm="http://schemas.microsoft.com/office/excel/2006/main">
          <x14:cfRule type="dataBar" id="{1C25A6C9-DE76-442E-9238-45DC1B5AC8EE}">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X28 X37 X46:X49 X51 X60 X69:X72 X74 X83 X106 X115 X124 X133 X142 X151 X160 X169 X178 X186 X195 X204 X213 X237 X246 X255 X262 X269 X274:X276 X265:X267 X258:X260 X251:X253 X242:X244 X233:X235 X209:X211 X200:X202 X191:X193 X182:X184 X174:X176 X165:X167 X156:X158 X147:X149 X138:X140 X129:X131 X120:X122 X111:X113 X102:X104 X79:X81 X65:X67 X56:X58 X42:X44 X33:X35</xm:sqref>
        </x14:conditionalFormatting>
        <x14:conditionalFormatting xmlns:xm="http://schemas.microsoft.com/office/excel/2006/main">
          <x14:cfRule type="iconSet" priority="52" id="{3ED54B6A-42F2-4ACE-8C26-2494FED1CF9F}">
            <x14:iconSet iconSet="3Triangles" custom="1">
              <x14:cfvo type="percent">
                <xm:f>0</xm:f>
              </x14:cfvo>
              <x14:cfvo type="num">
                <xm:f>-1000</xm:f>
              </x14:cfvo>
              <x14:cfvo type="num">
                <xm:f>1000</xm:f>
              </x14:cfvo>
              <x14:cfIcon iconSet="3Triangles" iconId="0"/>
              <x14:cfIcon iconSet="NoIcons" iconId="0"/>
              <x14:cfIcon iconSet="3Triangles" iconId="2"/>
            </x14:iconSet>
          </x14:cfRule>
          <xm:sqref>S28:U28 S37:U37 S46:U47 S51:U51 S60:U60 S69:U70 S74:U74 S83:U83 S106:U106 S115:U115 S124:U124 S133:U133 S142:U142 S151:U151 S160:U160 S169:U169 S178:U178 S186:U186 S195:U195 S204:U204 S213:U213 S237:U237 S246:U246 S255:U255 S262:U262 S269:U269 S274:U274 S265:U265 S258:U258 S251:U251 S242:U242 S233:U233 S209:U209 S200:U200 S191:U191 S182:U182 S174:U174 S165:U165 S156:U156 S147:U147 S138:U138 S129:U129 S120:U120 S111:U111 S102:U102 S79:U79 S65:U65 S56:U56 S42:U42 S33:U33</xm:sqref>
        </x14:conditionalFormatting>
        <x14:conditionalFormatting xmlns:xm="http://schemas.microsoft.com/office/excel/2006/main">
          <x14:cfRule type="dataBar" id="{9A5250D8-10BE-416E-BB14-3750A6372D3E}">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X14:X23</xm:sqref>
        </x14:conditionalFormatting>
        <x14:conditionalFormatting xmlns:xm="http://schemas.microsoft.com/office/excel/2006/main">
          <x14:cfRule type="iconSet" priority="50" id="{58CD4992-FCBF-4BC2-8E56-03ECBFAEDC86}">
            <x14:iconSet iconSet="3Triangles" custom="1">
              <x14:cfvo type="percent">
                <xm:f>0</xm:f>
              </x14:cfvo>
              <x14:cfvo type="num">
                <xm:f>-1000</xm:f>
              </x14:cfvo>
              <x14:cfvo type="num">
                <xm:f>1000</xm:f>
              </x14:cfvo>
              <x14:cfIcon iconSet="3Triangles" iconId="0"/>
              <x14:cfIcon iconSet="NoIcons" iconId="0"/>
              <x14:cfIcon iconSet="3Triangles" iconId="2"/>
            </x14:iconSet>
          </x14:cfRule>
          <xm:sqref>S14:U23</xm:sqref>
        </x14:conditionalFormatting>
        <x14:conditionalFormatting xmlns:xm="http://schemas.microsoft.com/office/excel/2006/main">
          <x14:cfRule type="dataBar" id="{9D5E2E63-CA8A-47AD-A789-E227A01DF27E}">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X270:X273</xm:sqref>
        </x14:conditionalFormatting>
        <x14:conditionalFormatting xmlns:xm="http://schemas.microsoft.com/office/excel/2006/main">
          <x14:cfRule type="iconSet" priority="48" id="{1BF7326C-9CB3-4EAA-8D76-A83B224FEDD3}">
            <x14:iconSet iconSet="3Triangles" custom="1">
              <x14:cfvo type="percent">
                <xm:f>0</xm:f>
              </x14:cfvo>
              <x14:cfvo type="num">
                <xm:f>-1000</xm:f>
              </x14:cfvo>
              <x14:cfvo type="num">
                <xm:f>1000</xm:f>
              </x14:cfvo>
              <x14:cfIcon iconSet="3Triangles" iconId="0"/>
              <x14:cfIcon iconSet="NoIcons" iconId="0"/>
              <x14:cfIcon iconSet="3Triangles" iconId="2"/>
            </x14:iconSet>
          </x14:cfRule>
          <xm:sqref>S270:U273</xm:sqref>
        </x14:conditionalFormatting>
        <x14:conditionalFormatting xmlns:xm="http://schemas.microsoft.com/office/excel/2006/main">
          <x14:cfRule type="dataBar" id="{2D0A1F9B-3FF8-4D1D-B9A2-71503944A477}">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X263:X264</xm:sqref>
        </x14:conditionalFormatting>
        <x14:conditionalFormatting xmlns:xm="http://schemas.microsoft.com/office/excel/2006/main">
          <x14:cfRule type="iconSet" priority="46" id="{C85AD0CC-DD9B-4B59-965C-C1C258EDEB10}">
            <x14:iconSet iconSet="3Triangles" custom="1">
              <x14:cfvo type="percent">
                <xm:f>0</xm:f>
              </x14:cfvo>
              <x14:cfvo type="num">
                <xm:f>-1000</xm:f>
              </x14:cfvo>
              <x14:cfvo type="num">
                <xm:f>1000</xm:f>
              </x14:cfvo>
              <x14:cfIcon iconSet="3Triangles" iconId="0"/>
              <x14:cfIcon iconSet="NoIcons" iconId="0"/>
              <x14:cfIcon iconSet="3Triangles" iconId="2"/>
            </x14:iconSet>
          </x14:cfRule>
          <xm:sqref>S263:U264</xm:sqref>
        </x14:conditionalFormatting>
        <x14:conditionalFormatting xmlns:xm="http://schemas.microsoft.com/office/excel/2006/main">
          <x14:cfRule type="dataBar" id="{60BF1122-355A-4B51-B589-982BFADA6E10}">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X256:X257</xm:sqref>
        </x14:conditionalFormatting>
        <x14:conditionalFormatting xmlns:xm="http://schemas.microsoft.com/office/excel/2006/main">
          <x14:cfRule type="iconSet" priority="44" id="{E31E0B55-6667-4ADB-82F4-7A5931D86061}">
            <x14:iconSet iconSet="3Triangles" custom="1">
              <x14:cfvo type="percent">
                <xm:f>0</xm:f>
              </x14:cfvo>
              <x14:cfvo type="num">
                <xm:f>-1000</xm:f>
              </x14:cfvo>
              <x14:cfvo type="num">
                <xm:f>1000</xm:f>
              </x14:cfvo>
              <x14:cfIcon iconSet="3Triangles" iconId="0"/>
              <x14:cfIcon iconSet="NoIcons" iconId="0"/>
              <x14:cfIcon iconSet="3Triangles" iconId="2"/>
            </x14:iconSet>
          </x14:cfRule>
          <xm:sqref>S256:U257</xm:sqref>
        </x14:conditionalFormatting>
        <x14:conditionalFormatting xmlns:xm="http://schemas.microsoft.com/office/excel/2006/main">
          <x14:cfRule type="dataBar" id="{A7D4CD74-DBF9-4C3B-AAC8-195640DD7180}">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X247:X250</xm:sqref>
        </x14:conditionalFormatting>
        <x14:conditionalFormatting xmlns:xm="http://schemas.microsoft.com/office/excel/2006/main">
          <x14:cfRule type="iconSet" priority="42" id="{BEDFC747-512B-42E1-88BE-4DA6DD9FDAD5}">
            <x14:iconSet iconSet="3Triangles" custom="1">
              <x14:cfvo type="percent">
                <xm:f>0</xm:f>
              </x14:cfvo>
              <x14:cfvo type="num">
                <xm:f>-1000</xm:f>
              </x14:cfvo>
              <x14:cfvo type="num">
                <xm:f>1000</xm:f>
              </x14:cfvo>
              <x14:cfIcon iconSet="3Triangles" iconId="0"/>
              <x14:cfIcon iconSet="NoIcons" iconId="0"/>
              <x14:cfIcon iconSet="3Triangles" iconId="2"/>
            </x14:iconSet>
          </x14:cfRule>
          <xm:sqref>S247:U250</xm:sqref>
        </x14:conditionalFormatting>
        <x14:conditionalFormatting xmlns:xm="http://schemas.microsoft.com/office/excel/2006/main">
          <x14:cfRule type="dataBar" id="{936D39CB-09C4-467D-AA05-31DEE078662D}">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X238:X241</xm:sqref>
        </x14:conditionalFormatting>
        <x14:conditionalFormatting xmlns:xm="http://schemas.microsoft.com/office/excel/2006/main">
          <x14:cfRule type="iconSet" priority="40" id="{D4CA4F00-5AA3-493A-B213-9115A1E16031}">
            <x14:iconSet iconSet="3Triangles" custom="1">
              <x14:cfvo type="percent">
                <xm:f>0</xm:f>
              </x14:cfvo>
              <x14:cfvo type="num">
                <xm:f>-1000</xm:f>
              </x14:cfvo>
              <x14:cfvo type="num">
                <xm:f>1000</xm:f>
              </x14:cfvo>
              <x14:cfIcon iconSet="3Triangles" iconId="0"/>
              <x14:cfIcon iconSet="NoIcons" iconId="0"/>
              <x14:cfIcon iconSet="3Triangles" iconId="2"/>
            </x14:iconSet>
          </x14:cfRule>
          <xm:sqref>S238:U241</xm:sqref>
        </x14:conditionalFormatting>
        <x14:conditionalFormatting xmlns:xm="http://schemas.microsoft.com/office/excel/2006/main">
          <x14:cfRule type="dataBar" id="{BC56234C-1BDF-4728-9C94-2E42F3BDB4C7}">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X214:X232</xm:sqref>
        </x14:conditionalFormatting>
        <x14:conditionalFormatting xmlns:xm="http://schemas.microsoft.com/office/excel/2006/main">
          <x14:cfRule type="iconSet" priority="38" id="{3F64A42F-CF66-454D-9786-0F908371CB24}">
            <x14:iconSet iconSet="3Triangles" custom="1">
              <x14:cfvo type="percent">
                <xm:f>0</xm:f>
              </x14:cfvo>
              <x14:cfvo type="num">
                <xm:f>-1000</xm:f>
              </x14:cfvo>
              <x14:cfvo type="num">
                <xm:f>1000</xm:f>
              </x14:cfvo>
              <x14:cfIcon iconSet="3Triangles" iconId="0"/>
              <x14:cfIcon iconSet="NoIcons" iconId="0"/>
              <x14:cfIcon iconSet="3Triangles" iconId="2"/>
            </x14:iconSet>
          </x14:cfRule>
          <xm:sqref>S214:U232</xm:sqref>
        </x14:conditionalFormatting>
        <x14:conditionalFormatting xmlns:xm="http://schemas.microsoft.com/office/excel/2006/main">
          <x14:cfRule type="dataBar" id="{819CA42E-FC17-4BB4-B509-2F41A084B22B}">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X205:X208</xm:sqref>
        </x14:conditionalFormatting>
        <x14:conditionalFormatting xmlns:xm="http://schemas.microsoft.com/office/excel/2006/main">
          <x14:cfRule type="iconSet" priority="36" id="{8059EF91-32E6-41A7-A845-2C955A606AD0}">
            <x14:iconSet iconSet="3Triangles" custom="1">
              <x14:cfvo type="percent">
                <xm:f>0</xm:f>
              </x14:cfvo>
              <x14:cfvo type="num">
                <xm:f>-1000</xm:f>
              </x14:cfvo>
              <x14:cfvo type="num">
                <xm:f>1000</xm:f>
              </x14:cfvo>
              <x14:cfIcon iconSet="3Triangles" iconId="0"/>
              <x14:cfIcon iconSet="NoIcons" iconId="0"/>
              <x14:cfIcon iconSet="3Triangles" iconId="2"/>
            </x14:iconSet>
          </x14:cfRule>
          <xm:sqref>S205:U208</xm:sqref>
        </x14:conditionalFormatting>
        <x14:conditionalFormatting xmlns:xm="http://schemas.microsoft.com/office/excel/2006/main">
          <x14:cfRule type="dataBar" id="{C0125046-68EE-4B23-83CF-6430691126FD}">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X196:X199</xm:sqref>
        </x14:conditionalFormatting>
        <x14:conditionalFormatting xmlns:xm="http://schemas.microsoft.com/office/excel/2006/main">
          <x14:cfRule type="iconSet" priority="34" id="{A6D0748F-A3C3-490A-A335-2F21D9C4D20E}">
            <x14:iconSet iconSet="3Triangles" custom="1">
              <x14:cfvo type="percent">
                <xm:f>0</xm:f>
              </x14:cfvo>
              <x14:cfvo type="num">
                <xm:f>-1000</xm:f>
              </x14:cfvo>
              <x14:cfvo type="num">
                <xm:f>1000</xm:f>
              </x14:cfvo>
              <x14:cfIcon iconSet="3Triangles" iconId="0"/>
              <x14:cfIcon iconSet="NoIcons" iconId="0"/>
              <x14:cfIcon iconSet="3Triangles" iconId="2"/>
            </x14:iconSet>
          </x14:cfRule>
          <xm:sqref>S196:U199</xm:sqref>
        </x14:conditionalFormatting>
        <x14:conditionalFormatting xmlns:xm="http://schemas.microsoft.com/office/excel/2006/main">
          <x14:cfRule type="dataBar" id="{103430E3-B2F0-4C1D-BDE0-4F6F80EC830D}">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X187:X190</xm:sqref>
        </x14:conditionalFormatting>
        <x14:conditionalFormatting xmlns:xm="http://schemas.microsoft.com/office/excel/2006/main">
          <x14:cfRule type="iconSet" priority="32" id="{130EFDB1-D08E-4E72-8545-45197492F151}">
            <x14:iconSet iconSet="3Triangles" custom="1">
              <x14:cfvo type="percent">
                <xm:f>0</xm:f>
              </x14:cfvo>
              <x14:cfvo type="num">
                <xm:f>-1000</xm:f>
              </x14:cfvo>
              <x14:cfvo type="num">
                <xm:f>1000</xm:f>
              </x14:cfvo>
              <x14:cfIcon iconSet="3Triangles" iconId="0"/>
              <x14:cfIcon iconSet="NoIcons" iconId="0"/>
              <x14:cfIcon iconSet="3Triangles" iconId="2"/>
            </x14:iconSet>
          </x14:cfRule>
          <xm:sqref>S187:U190</xm:sqref>
        </x14:conditionalFormatting>
        <x14:conditionalFormatting xmlns:xm="http://schemas.microsoft.com/office/excel/2006/main">
          <x14:cfRule type="dataBar" id="{314F6980-F672-4AF5-AF0B-22BB8CE9D3BF}">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X179:X181</xm:sqref>
        </x14:conditionalFormatting>
        <x14:conditionalFormatting xmlns:xm="http://schemas.microsoft.com/office/excel/2006/main">
          <x14:cfRule type="iconSet" priority="30" id="{7A81E73D-627B-4AC4-8231-8D8499C07458}">
            <x14:iconSet iconSet="3Triangles" custom="1">
              <x14:cfvo type="percent">
                <xm:f>0</xm:f>
              </x14:cfvo>
              <x14:cfvo type="num">
                <xm:f>-1000</xm:f>
              </x14:cfvo>
              <x14:cfvo type="num">
                <xm:f>1000</xm:f>
              </x14:cfvo>
              <x14:cfIcon iconSet="3Triangles" iconId="0"/>
              <x14:cfIcon iconSet="NoIcons" iconId="0"/>
              <x14:cfIcon iconSet="3Triangles" iconId="2"/>
            </x14:iconSet>
          </x14:cfRule>
          <xm:sqref>S179:U181</xm:sqref>
        </x14:conditionalFormatting>
        <x14:conditionalFormatting xmlns:xm="http://schemas.microsoft.com/office/excel/2006/main">
          <x14:cfRule type="dataBar" id="{18E296E4-EF3B-4DB3-94BD-8BB7A9704DDC}">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X170:X173</xm:sqref>
        </x14:conditionalFormatting>
        <x14:conditionalFormatting xmlns:xm="http://schemas.microsoft.com/office/excel/2006/main">
          <x14:cfRule type="iconSet" priority="28" id="{0F5CF939-D636-4D96-A8D2-2D35DB241F64}">
            <x14:iconSet iconSet="3Triangles" custom="1">
              <x14:cfvo type="percent">
                <xm:f>0</xm:f>
              </x14:cfvo>
              <x14:cfvo type="num">
                <xm:f>-1000</xm:f>
              </x14:cfvo>
              <x14:cfvo type="num">
                <xm:f>1000</xm:f>
              </x14:cfvo>
              <x14:cfIcon iconSet="3Triangles" iconId="0"/>
              <x14:cfIcon iconSet="NoIcons" iconId="0"/>
              <x14:cfIcon iconSet="3Triangles" iconId="2"/>
            </x14:iconSet>
          </x14:cfRule>
          <xm:sqref>S170:U173</xm:sqref>
        </x14:conditionalFormatting>
        <x14:conditionalFormatting xmlns:xm="http://schemas.microsoft.com/office/excel/2006/main">
          <x14:cfRule type="dataBar" id="{9F68AEB3-E715-4F82-95CA-4F907E936A6E}">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X161:X164</xm:sqref>
        </x14:conditionalFormatting>
        <x14:conditionalFormatting xmlns:xm="http://schemas.microsoft.com/office/excel/2006/main">
          <x14:cfRule type="iconSet" priority="26" id="{427F54D7-CD76-4871-B03A-B5429F48D855}">
            <x14:iconSet iconSet="3Triangles" custom="1">
              <x14:cfvo type="percent">
                <xm:f>0</xm:f>
              </x14:cfvo>
              <x14:cfvo type="num">
                <xm:f>-1000</xm:f>
              </x14:cfvo>
              <x14:cfvo type="num">
                <xm:f>1000</xm:f>
              </x14:cfvo>
              <x14:cfIcon iconSet="3Triangles" iconId="0"/>
              <x14:cfIcon iconSet="NoIcons" iconId="0"/>
              <x14:cfIcon iconSet="3Triangles" iconId="2"/>
            </x14:iconSet>
          </x14:cfRule>
          <xm:sqref>S161:U164</xm:sqref>
        </x14:conditionalFormatting>
        <x14:conditionalFormatting xmlns:xm="http://schemas.microsoft.com/office/excel/2006/main">
          <x14:cfRule type="dataBar" id="{0C71971C-A4B6-4E69-9CD9-B3384FA49782}">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X152:X155</xm:sqref>
        </x14:conditionalFormatting>
        <x14:conditionalFormatting xmlns:xm="http://schemas.microsoft.com/office/excel/2006/main">
          <x14:cfRule type="iconSet" priority="24" id="{00A97E05-34D2-4723-860D-5714F200FACB}">
            <x14:iconSet iconSet="3Triangles" custom="1">
              <x14:cfvo type="percent">
                <xm:f>0</xm:f>
              </x14:cfvo>
              <x14:cfvo type="num">
                <xm:f>-1000</xm:f>
              </x14:cfvo>
              <x14:cfvo type="num">
                <xm:f>1000</xm:f>
              </x14:cfvo>
              <x14:cfIcon iconSet="3Triangles" iconId="0"/>
              <x14:cfIcon iconSet="NoIcons" iconId="0"/>
              <x14:cfIcon iconSet="3Triangles" iconId="2"/>
            </x14:iconSet>
          </x14:cfRule>
          <xm:sqref>S152:U155</xm:sqref>
        </x14:conditionalFormatting>
        <x14:conditionalFormatting xmlns:xm="http://schemas.microsoft.com/office/excel/2006/main">
          <x14:cfRule type="dataBar" id="{24EB8827-5CAA-46BB-BBD0-11D5D7DF9A3E}">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X143:X146</xm:sqref>
        </x14:conditionalFormatting>
        <x14:conditionalFormatting xmlns:xm="http://schemas.microsoft.com/office/excel/2006/main">
          <x14:cfRule type="iconSet" priority="22" id="{E9CB178A-EE44-49E1-99F2-5C657E4B4F7B}">
            <x14:iconSet iconSet="3Triangles" custom="1">
              <x14:cfvo type="percent">
                <xm:f>0</xm:f>
              </x14:cfvo>
              <x14:cfvo type="num">
                <xm:f>-1000</xm:f>
              </x14:cfvo>
              <x14:cfvo type="num">
                <xm:f>1000</xm:f>
              </x14:cfvo>
              <x14:cfIcon iconSet="3Triangles" iconId="0"/>
              <x14:cfIcon iconSet="NoIcons" iconId="0"/>
              <x14:cfIcon iconSet="3Triangles" iconId="2"/>
            </x14:iconSet>
          </x14:cfRule>
          <xm:sqref>S143:U146</xm:sqref>
        </x14:conditionalFormatting>
        <x14:conditionalFormatting xmlns:xm="http://schemas.microsoft.com/office/excel/2006/main">
          <x14:cfRule type="dataBar" id="{F6214379-589C-411A-BC6B-11B893A91353}">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X134:X137</xm:sqref>
        </x14:conditionalFormatting>
        <x14:conditionalFormatting xmlns:xm="http://schemas.microsoft.com/office/excel/2006/main">
          <x14:cfRule type="iconSet" priority="20" id="{0B35327D-B57D-47FC-9FE2-BD2517CD33C2}">
            <x14:iconSet iconSet="3Triangles" custom="1">
              <x14:cfvo type="percent">
                <xm:f>0</xm:f>
              </x14:cfvo>
              <x14:cfvo type="num">
                <xm:f>-1000</xm:f>
              </x14:cfvo>
              <x14:cfvo type="num">
                <xm:f>1000</xm:f>
              </x14:cfvo>
              <x14:cfIcon iconSet="3Triangles" iconId="0"/>
              <x14:cfIcon iconSet="NoIcons" iconId="0"/>
              <x14:cfIcon iconSet="3Triangles" iconId="2"/>
            </x14:iconSet>
          </x14:cfRule>
          <xm:sqref>S134:U137</xm:sqref>
        </x14:conditionalFormatting>
        <x14:conditionalFormatting xmlns:xm="http://schemas.microsoft.com/office/excel/2006/main">
          <x14:cfRule type="dataBar" id="{5AFD7E87-4BC3-41DD-BD8B-1208FDCDBB5D}">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X125:X128</xm:sqref>
        </x14:conditionalFormatting>
        <x14:conditionalFormatting xmlns:xm="http://schemas.microsoft.com/office/excel/2006/main">
          <x14:cfRule type="iconSet" priority="18" id="{6A4C784F-60D5-411D-BCC2-EDA1756AE566}">
            <x14:iconSet iconSet="3Triangles" custom="1">
              <x14:cfvo type="percent">
                <xm:f>0</xm:f>
              </x14:cfvo>
              <x14:cfvo type="num">
                <xm:f>-1000</xm:f>
              </x14:cfvo>
              <x14:cfvo type="num">
                <xm:f>1000</xm:f>
              </x14:cfvo>
              <x14:cfIcon iconSet="3Triangles" iconId="0"/>
              <x14:cfIcon iconSet="NoIcons" iconId="0"/>
              <x14:cfIcon iconSet="3Triangles" iconId="2"/>
            </x14:iconSet>
          </x14:cfRule>
          <xm:sqref>S125:U128</xm:sqref>
        </x14:conditionalFormatting>
        <x14:conditionalFormatting xmlns:xm="http://schemas.microsoft.com/office/excel/2006/main">
          <x14:cfRule type="dataBar" id="{E7C33063-B464-4085-B60C-2319A06E4786}">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X116:X119</xm:sqref>
        </x14:conditionalFormatting>
        <x14:conditionalFormatting xmlns:xm="http://schemas.microsoft.com/office/excel/2006/main">
          <x14:cfRule type="iconSet" priority="16" id="{0CAAE1A6-ADE0-4CBF-B75B-D5E0E375FD56}">
            <x14:iconSet iconSet="3Triangles" custom="1">
              <x14:cfvo type="percent">
                <xm:f>0</xm:f>
              </x14:cfvo>
              <x14:cfvo type="num">
                <xm:f>-1000</xm:f>
              </x14:cfvo>
              <x14:cfvo type="num">
                <xm:f>1000</xm:f>
              </x14:cfvo>
              <x14:cfIcon iconSet="3Triangles" iconId="0"/>
              <x14:cfIcon iconSet="NoIcons" iconId="0"/>
              <x14:cfIcon iconSet="3Triangles" iconId="2"/>
            </x14:iconSet>
          </x14:cfRule>
          <xm:sqref>S116:U119</xm:sqref>
        </x14:conditionalFormatting>
        <x14:conditionalFormatting xmlns:xm="http://schemas.microsoft.com/office/excel/2006/main">
          <x14:cfRule type="dataBar" id="{5A95219F-BC6E-41B2-9B3C-01A63E386D41}">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X107:X110</xm:sqref>
        </x14:conditionalFormatting>
        <x14:conditionalFormatting xmlns:xm="http://schemas.microsoft.com/office/excel/2006/main">
          <x14:cfRule type="iconSet" priority="14" id="{43C2C62A-D7C5-46E4-A8CE-90B4F3983E36}">
            <x14:iconSet iconSet="3Triangles" custom="1">
              <x14:cfvo type="percent">
                <xm:f>0</xm:f>
              </x14:cfvo>
              <x14:cfvo type="num">
                <xm:f>-1000</xm:f>
              </x14:cfvo>
              <x14:cfvo type="num">
                <xm:f>1000</xm:f>
              </x14:cfvo>
              <x14:cfIcon iconSet="3Triangles" iconId="0"/>
              <x14:cfIcon iconSet="NoIcons" iconId="0"/>
              <x14:cfIcon iconSet="3Triangles" iconId="2"/>
            </x14:iconSet>
          </x14:cfRule>
          <xm:sqref>S107:U110</xm:sqref>
        </x14:conditionalFormatting>
        <x14:conditionalFormatting xmlns:xm="http://schemas.microsoft.com/office/excel/2006/main">
          <x14:cfRule type="dataBar" id="{2B49A060-3B67-4457-A26D-BA0F401D80AD}">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X84:X101</xm:sqref>
        </x14:conditionalFormatting>
        <x14:conditionalFormatting xmlns:xm="http://schemas.microsoft.com/office/excel/2006/main">
          <x14:cfRule type="iconSet" priority="12" id="{4DF1980F-1EFC-4FC6-9B9C-3A2D60243E59}">
            <x14:iconSet iconSet="3Triangles" custom="1">
              <x14:cfvo type="percent">
                <xm:f>0</xm:f>
              </x14:cfvo>
              <x14:cfvo type="num">
                <xm:f>-1000</xm:f>
              </x14:cfvo>
              <x14:cfvo type="num">
                <xm:f>1000</xm:f>
              </x14:cfvo>
              <x14:cfIcon iconSet="3Triangles" iconId="0"/>
              <x14:cfIcon iconSet="NoIcons" iconId="0"/>
              <x14:cfIcon iconSet="3Triangles" iconId="2"/>
            </x14:iconSet>
          </x14:cfRule>
          <xm:sqref>S84:U101</xm:sqref>
        </x14:conditionalFormatting>
        <x14:conditionalFormatting xmlns:xm="http://schemas.microsoft.com/office/excel/2006/main">
          <x14:cfRule type="dataBar" id="{9DD09FCB-C069-4875-BF55-5A36F6E39432}">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X75:X78</xm:sqref>
        </x14:conditionalFormatting>
        <x14:conditionalFormatting xmlns:xm="http://schemas.microsoft.com/office/excel/2006/main">
          <x14:cfRule type="iconSet" priority="10" id="{46A4FD55-E926-4FD0-B007-0DBCBA998566}">
            <x14:iconSet iconSet="3Triangles" custom="1">
              <x14:cfvo type="percent">
                <xm:f>0</xm:f>
              </x14:cfvo>
              <x14:cfvo type="num">
                <xm:f>-1000</xm:f>
              </x14:cfvo>
              <x14:cfvo type="num">
                <xm:f>1000</xm:f>
              </x14:cfvo>
              <x14:cfIcon iconSet="3Triangles" iconId="0"/>
              <x14:cfIcon iconSet="NoIcons" iconId="0"/>
              <x14:cfIcon iconSet="3Triangles" iconId="2"/>
            </x14:iconSet>
          </x14:cfRule>
          <xm:sqref>S75:U78</xm:sqref>
        </x14:conditionalFormatting>
        <x14:conditionalFormatting xmlns:xm="http://schemas.microsoft.com/office/excel/2006/main">
          <x14:cfRule type="dataBar" id="{EE3910D3-2CB4-418B-81C8-DE499B7DF3E2}">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X61:X64</xm:sqref>
        </x14:conditionalFormatting>
        <x14:conditionalFormatting xmlns:xm="http://schemas.microsoft.com/office/excel/2006/main">
          <x14:cfRule type="iconSet" priority="8" id="{A3688BB3-9514-4864-80B9-DF6192906131}">
            <x14:iconSet iconSet="3Triangles" custom="1">
              <x14:cfvo type="percent">
                <xm:f>0</xm:f>
              </x14:cfvo>
              <x14:cfvo type="num">
                <xm:f>-1000</xm:f>
              </x14:cfvo>
              <x14:cfvo type="num">
                <xm:f>1000</xm:f>
              </x14:cfvo>
              <x14:cfIcon iconSet="3Triangles" iconId="0"/>
              <x14:cfIcon iconSet="NoIcons" iconId="0"/>
              <x14:cfIcon iconSet="3Triangles" iconId="2"/>
            </x14:iconSet>
          </x14:cfRule>
          <xm:sqref>S61:U64</xm:sqref>
        </x14:conditionalFormatting>
        <x14:conditionalFormatting xmlns:xm="http://schemas.microsoft.com/office/excel/2006/main">
          <x14:cfRule type="dataBar" id="{AE56D84E-4A57-4EA0-A93E-694345C8E096}">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X52:X55</xm:sqref>
        </x14:conditionalFormatting>
        <x14:conditionalFormatting xmlns:xm="http://schemas.microsoft.com/office/excel/2006/main">
          <x14:cfRule type="iconSet" priority="6" id="{529E5CD0-36BC-40EF-8257-A752FA66C9AC}">
            <x14:iconSet iconSet="3Triangles" custom="1">
              <x14:cfvo type="percent">
                <xm:f>0</xm:f>
              </x14:cfvo>
              <x14:cfvo type="num">
                <xm:f>-1000</xm:f>
              </x14:cfvo>
              <x14:cfvo type="num">
                <xm:f>1000</xm:f>
              </x14:cfvo>
              <x14:cfIcon iconSet="3Triangles" iconId="0"/>
              <x14:cfIcon iconSet="NoIcons" iconId="0"/>
              <x14:cfIcon iconSet="3Triangles" iconId="2"/>
            </x14:iconSet>
          </x14:cfRule>
          <xm:sqref>S52:U55</xm:sqref>
        </x14:conditionalFormatting>
        <x14:conditionalFormatting xmlns:xm="http://schemas.microsoft.com/office/excel/2006/main">
          <x14:cfRule type="dataBar" id="{8876CCE1-9BBF-4FFE-89BD-2C38C9A535E4}">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X38:X41</xm:sqref>
        </x14:conditionalFormatting>
        <x14:conditionalFormatting xmlns:xm="http://schemas.microsoft.com/office/excel/2006/main">
          <x14:cfRule type="iconSet" priority="4" id="{A2A8ED45-1751-4C0B-B13F-1CA3AB84936C}">
            <x14:iconSet iconSet="3Triangles" custom="1">
              <x14:cfvo type="percent">
                <xm:f>0</xm:f>
              </x14:cfvo>
              <x14:cfvo type="num">
                <xm:f>-1000</xm:f>
              </x14:cfvo>
              <x14:cfvo type="num">
                <xm:f>1000</xm:f>
              </x14:cfvo>
              <x14:cfIcon iconSet="3Triangles" iconId="0"/>
              <x14:cfIcon iconSet="NoIcons" iconId="0"/>
              <x14:cfIcon iconSet="3Triangles" iconId="2"/>
            </x14:iconSet>
          </x14:cfRule>
          <xm:sqref>S38:U41</xm:sqref>
        </x14:conditionalFormatting>
        <x14:conditionalFormatting xmlns:xm="http://schemas.microsoft.com/office/excel/2006/main">
          <x14:cfRule type="dataBar" id="{287E5B41-B1B5-42C1-90D4-BBC309201C7D}">
            <x14:dataBar minLength="0" maxLength="100" border="1" negativeBarBorderColorSameAsPositive="0" axisPosition="middle">
              <x14:cfvo type="min"/>
              <x14:cfvo type="max"/>
              <x14:borderColor theme="9" tint="0.39997558519241921"/>
              <x14:negativeFillColor rgb="FFC00000"/>
              <x14:negativeBorderColor rgb="FFC00000"/>
              <x14:axisColor rgb="FF000000"/>
            </x14:dataBar>
          </x14:cfRule>
          <xm:sqref>X29:X32</xm:sqref>
        </x14:conditionalFormatting>
        <x14:conditionalFormatting xmlns:xm="http://schemas.microsoft.com/office/excel/2006/main">
          <x14:cfRule type="iconSet" priority="2" id="{6E9AF5DE-B28D-49A1-83B8-CAEAC6626EBB}">
            <x14:iconSet iconSet="3Triangles" custom="1">
              <x14:cfvo type="percent">
                <xm:f>0</xm:f>
              </x14:cfvo>
              <x14:cfvo type="num">
                <xm:f>-1000</xm:f>
              </x14:cfvo>
              <x14:cfvo type="num">
                <xm:f>1000</xm:f>
              </x14:cfvo>
              <x14:cfIcon iconSet="3Triangles" iconId="0"/>
              <x14:cfIcon iconSet="NoIcons" iconId="0"/>
              <x14:cfIcon iconSet="3Triangles" iconId="2"/>
            </x14:iconSet>
          </x14:cfRule>
          <xm:sqref>S29:U32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RowHeight="12.75" x14ac:dyDescent="0.2"/>
  <sheetData>
    <row r="1" spans="1:5" x14ac:dyDescent="0.2">
      <c r="A1" s="63" t="s">
        <v>3290</v>
      </c>
      <c r="B1" s="63" t="s">
        <v>0</v>
      </c>
      <c r="C1" s="63" t="s">
        <v>1</v>
      </c>
      <c r="D1" s="63" t="s">
        <v>2</v>
      </c>
      <c r="E1" s="63" t="s">
        <v>924</v>
      </c>
    </row>
    <row r="3" spans="1:5" x14ac:dyDescent="0.2">
      <c r="B3" s="63" t="s">
        <v>3</v>
      </c>
    </row>
    <row r="4" spans="1:5" x14ac:dyDescent="0.2">
      <c r="A4" s="63" t="s">
        <v>4</v>
      </c>
      <c r="B4" s="63" t="s">
        <v>5</v>
      </c>
      <c r="C4" s="63" t="s">
        <v>3288</v>
      </c>
      <c r="E4" s="63" t="s">
        <v>923</v>
      </c>
    </row>
    <row r="5" spans="1:5" x14ac:dyDescent="0.2">
      <c r="A5" s="63" t="s">
        <v>4</v>
      </c>
      <c r="B5" s="63" t="s">
        <v>6</v>
      </c>
      <c r="C5" s="63" t="s">
        <v>3289</v>
      </c>
      <c r="E5" s="63" t="s">
        <v>923</v>
      </c>
    </row>
    <row r="6" spans="1:5" x14ac:dyDescent="0.2">
      <c r="A6" s="63" t="s">
        <v>4</v>
      </c>
      <c r="B6" s="63" t="s">
        <v>7</v>
      </c>
      <c r="C6" s="63" t="s">
        <v>8</v>
      </c>
      <c r="D6" s="63" t="s">
        <v>925</v>
      </c>
    </row>
    <row r="7" spans="1:5" x14ac:dyDescent="0.2">
      <c r="A7" s="63" t="s">
        <v>4</v>
      </c>
      <c r="B7" s="63" t="s">
        <v>9</v>
      </c>
      <c r="C7" s="63" t="s">
        <v>2136</v>
      </c>
      <c r="D7" s="63" t="s">
        <v>926</v>
      </c>
    </row>
    <row r="8" spans="1:5" x14ac:dyDescent="0.2">
      <c r="A8" s="63" t="s">
        <v>4</v>
      </c>
      <c r="B8" s="63" t="s">
        <v>10</v>
      </c>
      <c r="C8" s="63" t="s">
        <v>2136</v>
      </c>
      <c r="D8" s="63" t="s">
        <v>927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RowHeight="12.75" x14ac:dyDescent="0.2"/>
  <sheetData>
    <row r="1" spans="1:5" x14ac:dyDescent="0.2">
      <c r="A1" s="63" t="s">
        <v>3290</v>
      </c>
      <c r="B1" s="63" t="s">
        <v>0</v>
      </c>
      <c r="C1" s="63" t="s">
        <v>1</v>
      </c>
      <c r="D1" s="63" t="s">
        <v>2</v>
      </c>
      <c r="E1" s="63" t="s">
        <v>924</v>
      </c>
    </row>
    <row r="3" spans="1:5" x14ac:dyDescent="0.2">
      <c r="B3" s="63" t="s">
        <v>3</v>
      </c>
    </row>
    <row r="4" spans="1:5" x14ac:dyDescent="0.2">
      <c r="A4" s="63" t="s">
        <v>4</v>
      </c>
      <c r="B4" s="63" t="s">
        <v>5</v>
      </c>
      <c r="C4" s="63" t="s">
        <v>3288</v>
      </c>
      <c r="E4" s="63" t="s">
        <v>923</v>
      </c>
    </row>
    <row r="5" spans="1:5" x14ac:dyDescent="0.2">
      <c r="A5" s="63" t="s">
        <v>4</v>
      </c>
      <c r="B5" s="63" t="s">
        <v>6</v>
      </c>
      <c r="C5" s="63" t="s">
        <v>3289</v>
      </c>
      <c r="E5" s="63" t="s">
        <v>923</v>
      </c>
    </row>
    <row r="6" spans="1:5" x14ac:dyDescent="0.2">
      <c r="A6" s="63" t="s">
        <v>4</v>
      </c>
      <c r="B6" s="63" t="s">
        <v>7</v>
      </c>
      <c r="C6" s="63" t="s">
        <v>8</v>
      </c>
      <c r="D6" s="63" t="s">
        <v>925</v>
      </c>
    </row>
    <row r="7" spans="1:5" x14ac:dyDescent="0.2">
      <c r="A7" s="63" t="s">
        <v>4</v>
      </c>
      <c r="B7" s="63" t="s">
        <v>9</v>
      </c>
      <c r="C7" s="63" t="s">
        <v>2136</v>
      </c>
      <c r="D7" s="63" t="s">
        <v>926</v>
      </c>
    </row>
    <row r="8" spans="1:5" x14ac:dyDescent="0.2">
      <c r="A8" s="63" t="s">
        <v>4</v>
      </c>
      <c r="B8" s="63" t="s">
        <v>10</v>
      </c>
      <c r="C8" s="63" t="s">
        <v>2136</v>
      </c>
      <c r="D8" s="63" t="s">
        <v>927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heetViews>
  <sheetFormatPr defaultRowHeight="12.75" x14ac:dyDescent="0.2"/>
  <sheetData>
    <row r="1" spans="1:24" x14ac:dyDescent="0.2">
      <c r="A1" s="63" t="s">
        <v>3293</v>
      </c>
      <c r="B1" s="63" t="s">
        <v>11</v>
      </c>
      <c r="C1" s="63" t="s">
        <v>11</v>
      </c>
      <c r="E1" s="63" t="s">
        <v>12</v>
      </c>
      <c r="F1" s="63" t="s">
        <v>12</v>
      </c>
      <c r="G1" s="63" t="s">
        <v>12</v>
      </c>
      <c r="H1" s="63" t="s">
        <v>12</v>
      </c>
      <c r="I1" s="63" t="s">
        <v>12</v>
      </c>
      <c r="J1" s="63" t="s">
        <v>12</v>
      </c>
      <c r="K1" s="63" t="s">
        <v>12</v>
      </c>
      <c r="L1" s="63" t="s">
        <v>12</v>
      </c>
      <c r="N1" s="63" t="s">
        <v>12</v>
      </c>
      <c r="O1" s="63" t="s">
        <v>12</v>
      </c>
      <c r="P1" s="63" t="s">
        <v>12</v>
      </c>
      <c r="Q1" s="63" t="s">
        <v>12</v>
      </c>
      <c r="S1" s="63" t="s">
        <v>12</v>
      </c>
      <c r="T1" s="63" t="s">
        <v>12</v>
      </c>
      <c r="U1" s="63" t="s">
        <v>12</v>
      </c>
      <c r="W1" s="63" t="s">
        <v>12</v>
      </c>
    </row>
    <row r="2" spans="1:24" x14ac:dyDescent="0.2">
      <c r="A2" s="63" t="s">
        <v>13</v>
      </c>
      <c r="B2" s="63" t="s">
        <v>5</v>
      </c>
      <c r="C2" s="63" t="s">
        <v>3291</v>
      </c>
    </row>
    <row r="3" spans="1:24" x14ac:dyDescent="0.2">
      <c r="B3" s="63" t="s">
        <v>6</v>
      </c>
      <c r="C3" s="63" t="s">
        <v>3292</v>
      </c>
    </row>
    <row r="4" spans="1:24" x14ac:dyDescent="0.2">
      <c r="B4" s="63" t="s">
        <v>14</v>
      </c>
      <c r="C4" s="63" t="s">
        <v>35</v>
      </c>
      <c r="E4" s="63" t="s">
        <v>15</v>
      </c>
    </row>
    <row r="5" spans="1:24" x14ac:dyDescent="0.2">
      <c r="B5" s="63" t="s">
        <v>16</v>
      </c>
      <c r="C5" s="63" t="s">
        <v>36</v>
      </c>
    </row>
    <row r="6" spans="1:24" x14ac:dyDescent="0.2">
      <c r="E6" s="63" t="s">
        <v>10</v>
      </c>
      <c r="F6" s="63" t="s">
        <v>37</v>
      </c>
    </row>
    <row r="7" spans="1:24" x14ac:dyDescent="0.2">
      <c r="E7" s="63" t="s">
        <v>7</v>
      </c>
      <c r="F7" s="63" t="s">
        <v>38</v>
      </c>
    </row>
    <row r="8" spans="1:24" x14ac:dyDescent="0.2">
      <c r="E8" s="63" t="s">
        <v>9</v>
      </c>
      <c r="F8" s="63" t="s">
        <v>39</v>
      </c>
      <c r="I8" s="63" t="s">
        <v>40</v>
      </c>
      <c r="N8" s="63" t="s">
        <v>41</v>
      </c>
    </row>
    <row r="9" spans="1:24" x14ac:dyDescent="0.2">
      <c r="B9" s="63" t="s">
        <v>2573</v>
      </c>
      <c r="C9" s="63" t="s">
        <v>17</v>
      </c>
    </row>
    <row r="10" spans="1:24" x14ac:dyDescent="0.2">
      <c r="S10" s="63" t="s">
        <v>18</v>
      </c>
    </row>
    <row r="11" spans="1:24" x14ac:dyDescent="0.2">
      <c r="E11" s="63" t="s">
        <v>19</v>
      </c>
      <c r="F11" s="63" t="s">
        <v>10</v>
      </c>
      <c r="G11" s="63" t="s">
        <v>20</v>
      </c>
      <c r="H11" s="63" t="s">
        <v>21</v>
      </c>
      <c r="I11" s="63" t="s">
        <v>22</v>
      </c>
      <c r="J11" s="63" t="s">
        <v>23</v>
      </c>
      <c r="K11" s="63" t="s">
        <v>24</v>
      </c>
      <c r="L11" s="63" t="s">
        <v>25</v>
      </c>
      <c r="N11" s="63" t="s">
        <v>22</v>
      </c>
      <c r="O11" s="63" t="s">
        <v>23</v>
      </c>
      <c r="P11" s="63" t="s">
        <v>24</v>
      </c>
      <c r="Q11" s="63" t="s">
        <v>25</v>
      </c>
      <c r="S11" s="63" t="s">
        <v>22</v>
      </c>
      <c r="T11" s="63" t="s">
        <v>23</v>
      </c>
      <c r="U11" s="63" t="s">
        <v>24</v>
      </c>
      <c r="W11" s="63" t="s">
        <v>25</v>
      </c>
    </row>
    <row r="12" spans="1:24" x14ac:dyDescent="0.2">
      <c r="C12" s="63" t="s">
        <v>42</v>
      </c>
      <c r="E12" s="63" t="s">
        <v>2574</v>
      </c>
    </row>
    <row r="13" spans="1:24" x14ac:dyDescent="0.2">
      <c r="C13" s="63" t="s">
        <v>43</v>
      </c>
      <c r="F13" s="63" t="s">
        <v>928</v>
      </c>
      <c r="G13" s="63" t="s">
        <v>929</v>
      </c>
      <c r="H13" s="63" t="s">
        <v>930</v>
      </c>
      <c r="I13" s="63" t="s">
        <v>931</v>
      </c>
      <c r="J13" s="63" t="s">
        <v>932</v>
      </c>
      <c r="K13" s="63" t="s">
        <v>44</v>
      </c>
      <c r="L13" s="63" t="s">
        <v>45</v>
      </c>
      <c r="N13" s="63" t="s">
        <v>933</v>
      </c>
      <c r="O13" s="63" t="s">
        <v>934</v>
      </c>
      <c r="P13" s="63" t="s">
        <v>46</v>
      </c>
      <c r="Q13" s="63" t="s">
        <v>47</v>
      </c>
      <c r="S13" s="63" t="s">
        <v>48</v>
      </c>
      <c r="T13" s="63" t="s">
        <v>49</v>
      </c>
      <c r="U13" s="63" t="s">
        <v>50</v>
      </c>
      <c r="W13" s="63" t="s">
        <v>51</v>
      </c>
      <c r="X13" s="63" t="s">
        <v>52</v>
      </c>
    </row>
    <row r="14" spans="1:24" x14ac:dyDescent="0.2">
      <c r="C14" s="63" t="s">
        <v>53</v>
      </c>
      <c r="X14" s="63" t="s">
        <v>54</v>
      </c>
    </row>
    <row r="15" spans="1:24" x14ac:dyDescent="0.2">
      <c r="C15" s="63" t="s">
        <v>55</v>
      </c>
      <c r="H15" s="63" t="s">
        <v>56</v>
      </c>
      <c r="I15" s="63" t="s">
        <v>57</v>
      </c>
      <c r="J15" s="63" t="s">
        <v>58</v>
      </c>
      <c r="K15" s="63" t="s">
        <v>59</v>
      </c>
      <c r="L15" s="63" t="s">
        <v>60</v>
      </c>
      <c r="N15" s="63" t="s">
        <v>2007</v>
      </c>
      <c r="O15" s="63" t="s">
        <v>2008</v>
      </c>
      <c r="P15" s="63" t="s">
        <v>61</v>
      </c>
      <c r="Q15" s="63" t="s">
        <v>62</v>
      </c>
      <c r="S15" s="63" t="s">
        <v>63</v>
      </c>
      <c r="T15" s="63" t="s">
        <v>64</v>
      </c>
      <c r="U15" s="63" t="s">
        <v>65</v>
      </c>
      <c r="W15" s="63" t="s">
        <v>66</v>
      </c>
      <c r="X15" s="63" t="s">
        <v>67</v>
      </c>
    </row>
    <row r="16" spans="1:24" x14ac:dyDescent="0.2">
      <c r="C16" s="63" t="s">
        <v>68</v>
      </c>
    </row>
    <row r="17" spans="1:24" x14ac:dyDescent="0.2">
      <c r="A17" s="63" t="s">
        <v>11</v>
      </c>
      <c r="C17" s="63" t="s">
        <v>70</v>
      </c>
      <c r="X17" s="63" t="s">
        <v>74</v>
      </c>
    </row>
    <row r="18" spans="1:24" x14ac:dyDescent="0.2">
      <c r="C18" s="63" t="s">
        <v>2009</v>
      </c>
      <c r="H18" s="63" t="s">
        <v>27</v>
      </c>
      <c r="I18" s="63" t="s">
        <v>2010</v>
      </c>
      <c r="J18" s="63" t="s">
        <v>2011</v>
      </c>
      <c r="K18" s="63" t="s">
        <v>2012</v>
      </c>
      <c r="L18" s="63" t="s">
        <v>2013</v>
      </c>
      <c r="N18" s="63" t="s">
        <v>2014</v>
      </c>
      <c r="O18" s="63" t="s">
        <v>2015</v>
      </c>
      <c r="P18" s="63" t="s">
        <v>2016</v>
      </c>
      <c r="Q18" s="63" t="s">
        <v>2017</v>
      </c>
      <c r="S18" s="63" t="s">
        <v>2018</v>
      </c>
      <c r="T18" s="63" t="s">
        <v>2019</v>
      </c>
      <c r="U18" s="63" t="s">
        <v>2020</v>
      </c>
      <c r="W18" s="63" t="s">
        <v>2021</v>
      </c>
      <c r="X18" s="63"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heetViews>
  <sheetFormatPr defaultRowHeight="12.75" x14ac:dyDescent="0.2"/>
  <sheetData>
    <row r="1" spans="1:24" x14ac:dyDescent="0.2">
      <c r="A1" s="63" t="s">
        <v>3293</v>
      </c>
      <c r="B1" s="63" t="s">
        <v>11</v>
      </c>
      <c r="C1" s="63" t="s">
        <v>11</v>
      </c>
      <c r="E1" s="63" t="s">
        <v>12</v>
      </c>
      <c r="F1" s="63" t="s">
        <v>12</v>
      </c>
      <c r="G1" s="63" t="s">
        <v>12</v>
      </c>
      <c r="H1" s="63" t="s">
        <v>12</v>
      </c>
      <c r="I1" s="63" t="s">
        <v>12</v>
      </c>
      <c r="J1" s="63" t="s">
        <v>12</v>
      </c>
      <c r="K1" s="63" t="s">
        <v>12</v>
      </c>
      <c r="L1" s="63" t="s">
        <v>12</v>
      </c>
      <c r="N1" s="63" t="s">
        <v>12</v>
      </c>
      <c r="O1" s="63" t="s">
        <v>12</v>
      </c>
      <c r="P1" s="63" t="s">
        <v>12</v>
      </c>
      <c r="Q1" s="63" t="s">
        <v>12</v>
      </c>
      <c r="S1" s="63" t="s">
        <v>12</v>
      </c>
      <c r="T1" s="63" t="s">
        <v>12</v>
      </c>
      <c r="U1" s="63" t="s">
        <v>12</v>
      </c>
      <c r="W1" s="63" t="s">
        <v>12</v>
      </c>
    </row>
    <row r="2" spans="1:24" x14ac:dyDescent="0.2">
      <c r="A2" s="63" t="s">
        <v>13</v>
      </c>
      <c r="B2" s="63" t="s">
        <v>5</v>
      </c>
      <c r="C2" s="63" t="s">
        <v>3291</v>
      </c>
    </row>
    <row r="3" spans="1:24" x14ac:dyDescent="0.2">
      <c r="B3" s="63" t="s">
        <v>6</v>
      </c>
      <c r="C3" s="63" t="s">
        <v>3292</v>
      </c>
    </row>
    <row r="4" spans="1:24" x14ac:dyDescent="0.2">
      <c r="B4" s="63" t="s">
        <v>14</v>
      </c>
      <c r="C4" s="63" t="s">
        <v>35</v>
      </c>
      <c r="E4" s="63" t="s">
        <v>15</v>
      </c>
    </row>
    <row r="5" spans="1:24" x14ac:dyDescent="0.2">
      <c r="B5" s="63" t="s">
        <v>16</v>
      </c>
      <c r="C5" s="63" t="s">
        <v>36</v>
      </c>
    </row>
    <row r="6" spans="1:24" x14ac:dyDescent="0.2">
      <c r="E6" s="63" t="s">
        <v>10</v>
      </c>
      <c r="F6" s="63" t="s">
        <v>37</v>
      </c>
    </row>
    <row r="7" spans="1:24" x14ac:dyDescent="0.2">
      <c r="E7" s="63" t="s">
        <v>7</v>
      </c>
      <c r="F7" s="63" t="s">
        <v>38</v>
      </c>
    </row>
    <row r="8" spans="1:24" x14ac:dyDescent="0.2">
      <c r="E8" s="63" t="s">
        <v>9</v>
      </c>
      <c r="F8" s="63" t="s">
        <v>39</v>
      </c>
      <c r="I8" s="63" t="s">
        <v>40</v>
      </c>
      <c r="N8" s="63" t="s">
        <v>41</v>
      </c>
    </row>
    <row r="9" spans="1:24" x14ac:dyDescent="0.2">
      <c r="B9" s="63" t="s">
        <v>2573</v>
      </c>
      <c r="C9" s="63" t="s">
        <v>17</v>
      </c>
    </row>
    <row r="10" spans="1:24" x14ac:dyDescent="0.2">
      <c r="S10" s="63" t="s">
        <v>18</v>
      </c>
    </row>
    <row r="11" spans="1:24" x14ac:dyDescent="0.2">
      <c r="E11" s="63" t="s">
        <v>19</v>
      </c>
      <c r="F11" s="63" t="s">
        <v>10</v>
      </c>
      <c r="G11" s="63" t="s">
        <v>20</v>
      </c>
      <c r="H11" s="63" t="s">
        <v>21</v>
      </c>
      <c r="I11" s="63" t="s">
        <v>22</v>
      </c>
      <c r="J11" s="63" t="s">
        <v>23</v>
      </c>
      <c r="K11" s="63" t="s">
        <v>24</v>
      </c>
      <c r="L11" s="63" t="s">
        <v>25</v>
      </c>
      <c r="N11" s="63" t="s">
        <v>22</v>
      </c>
      <c r="O11" s="63" t="s">
        <v>23</v>
      </c>
      <c r="P11" s="63" t="s">
        <v>24</v>
      </c>
      <c r="Q11" s="63" t="s">
        <v>25</v>
      </c>
      <c r="S11" s="63" t="s">
        <v>22</v>
      </c>
      <c r="T11" s="63" t="s">
        <v>23</v>
      </c>
      <c r="U11" s="63" t="s">
        <v>24</v>
      </c>
      <c r="W11" s="63" t="s">
        <v>25</v>
      </c>
    </row>
    <row r="12" spans="1:24" x14ac:dyDescent="0.2">
      <c r="C12" s="63" t="s">
        <v>42</v>
      </c>
      <c r="E12" s="63" t="s">
        <v>2574</v>
      </c>
    </row>
    <row r="13" spans="1:24" x14ac:dyDescent="0.2">
      <c r="C13" s="63" t="s">
        <v>43</v>
      </c>
      <c r="F13" s="63" t="s">
        <v>928</v>
      </c>
      <c r="G13" s="63" t="s">
        <v>929</v>
      </c>
      <c r="H13" s="63" t="s">
        <v>930</v>
      </c>
      <c r="I13" s="63" t="s">
        <v>931</v>
      </c>
      <c r="J13" s="63" t="s">
        <v>932</v>
      </c>
      <c r="K13" s="63" t="s">
        <v>44</v>
      </c>
      <c r="L13" s="63" t="s">
        <v>45</v>
      </c>
      <c r="N13" s="63" t="s">
        <v>933</v>
      </c>
      <c r="O13" s="63" t="s">
        <v>934</v>
      </c>
      <c r="P13" s="63" t="s">
        <v>46</v>
      </c>
      <c r="Q13" s="63" t="s">
        <v>47</v>
      </c>
      <c r="S13" s="63" t="s">
        <v>48</v>
      </c>
      <c r="T13" s="63" t="s">
        <v>49</v>
      </c>
      <c r="U13" s="63" t="s">
        <v>50</v>
      </c>
      <c r="W13" s="63" t="s">
        <v>51</v>
      </c>
      <c r="X13" s="63" t="s">
        <v>52</v>
      </c>
    </row>
    <row r="14" spans="1:24" x14ac:dyDescent="0.2">
      <c r="C14" s="63" t="s">
        <v>53</v>
      </c>
      <c r="X14" s="63" t="s">
        <v>54</v>
      </c>
    </row>
    <row r="15" spans="1:24" x14ac:dyDescent="0.2">
      <c r="C15" s="63" t="s">
        <v>55</v>
      </c>
      <c r="H15" s="63" t="s">
        <v>56</v>
      </c>
      <c r="I15" s="63" t="s">
        <v>57</v>
      </c>
      <c r="J15" s="63" t="s">
        <v>58</v>
      </c>
      <c r="K15" s="63" t="s">
        <v>59</v>
      </c>
      <c r="L15" s="63" t="s">
        <v>60</v>
      </c>
      <c r="N15" s="63" t="s">
        <v>2007</v>
      </c>
      <c r="O15" s="63" t="s">
        <v>2008</v>
      </c>
      <c r="P15" s="63" t="s">
        <v>61</v>
      </c>
      <c r="Q15" s="63" t="s">
        <v>62</v>
      </c>
      <c r="S15" s="63" t="s">
        <v>63</v>
      </c>
      <c r="T15" s="63" t="s">
        <v>64</v>
      </c>
      <c r="U15" s="63" t="s">
        <v>65</v>
      </c>
      <c r="W15" s="63" t="s">
        <v>66</v>
      </c>
      <c r="X15" s="63" t="s">
        <v>67</v>
      </c>
    </row>
    <row r="16" spans="1:24" x14ac:dyDescent="0.2">
      <c r="C16" s="63" t="s">
        <v>68</v>
      </c>
    </row>
    <row r="17" spans="1:24" x14ac:dyDescent="0.2">
      <c r="A17" s="63" t="s">
        <v>11</v>
      </c>
      <c r="C17" s="63" t="s">
        <v>70</v>
      </c>
      <c r="X17" s="63" t="s">
        <v>74</v>
      </c>
    </row>
    <row r="18" spans="1:24" x14ac:dyDescent="0.2">
      <c r="C18" s="63" t="s">
        <v>2009</v>
      </c>
      <c r="H18" s="63" t="s">
        <v>27</v>
      </c>
      <c r="I18" s="63" t="s">
        <v>2010</v>
      </c>
      <c r="J18" s="63" t="s">
        <v>2011</v>
      </c>
      <c r="K18" s="63" t="s">
        <v>2012</v>
      </c>
      <c r="L18" s="63" t="s">
        <v>2013</v>
      </c>
      <c r="N18" s="63" t="s">
        <v>2014</v>
      </c>
      <c r="O18" s="63" t="s">
        <v>2015</v>
      </c>
      <c r="P18" s="63" t="s">
        <v>2016</v>
      </c>
      <c r="Q18" s="63" t="s">
        <v>2017</v>
      </c>
      <c r="S18" s="63" t="s">
        <v>2018</v>
      </c>
      <c r="T18" s="63" t="s">
        <v>2019</v>
      </c>
      <c r="U18" s="63" t="s">
        <v>2020</v>
      </c>
      <c r="W18" s="63" t="s">
        <v>2021</v>
      </c>
      <c r="X18" s="63"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RowHeight="12.75" x14ac:dyDescent="0.2"/>
  <sheetData>
    <row r="1" spans="1:5" x14ac:dyDescent="0.2">
      <c r="A1" s="63" t="s">
        <v>3295</v>
      </c>
      <c r="B1" s="63" t="s">
        <v>0</v>
      </c>
      <c r="C1" s="63" t="s">
        <v>1</v>
      </c>
      <c r="D1" s="63" t="s">
        <v>2</v>
      </c>
      <c r="E1" s="63" t="s">
        <v>924</v>
      </c>
    </row>
    <row r="3" spans="1:5" x14ac:dyDescent="0.2">
      <c r="B3" s="63" t="s">
        <v>3</v>
      </c>
    </row>
    <row r="4" spans="1:5" x14ac:dyDescent="0.2">
      <c r="A4" s="63" t="s">
        <v>4</v>
      </c>
      <c r="B4" s="63" t="s">
        <v>5</v>
      </c>
      <c r="C4" s="63" t="s">
        <v>3288</v>
      </c>
      <c r="E4" s="63" t="s">
        <v>923</v>
      </c>
    </row>
    <row r="5" spans="1:5" x14ac:dyDescent="0.2">
      <c r="A5" s="63" t="s">
        <v>4</v>
      </c>
      <c r="B5" s="63" t="s">
        <v>6</v>
      </c>
      <c r="C5" s="63" t="s">
        <v>3289</v>
      </c>
      <c r="E5" s="63" t="s">
        <v>923</v>
      </c>
    </row>
    <row r="6" spans="1:5" x14ac:dyDescent="0.2">
      <c r="A6" s="63" t="s">
        <v>4</v>
      </c>
      <c r="B6" s="63" t="s">
        <v>7</v>
      </c>
      <c r="C6" s="63" t="s">
        <v>8</v>
      </c>
      <c r="D6" s="63" t="s">
        <v>925</v>
      </c>
    </row>
    <row r="7" spans="1:5" x14ac:dyDescent="0.2">
      <c r="A7" s="63" t="s">
        <v>4</v>
      </c>
      <c r="B7" s="63" t="s">
        <v>9</v>
      </c>
      <c r="C7" s="63" t="s">
        <v>2136</v>
      </c>
      <c r="D7" s="63" t="s">
        <v>926</v>
      </c>
    </row>
    <row r="8" spans="1:5" x14ac:dyDescent="0.2">
      <c r="A8" s="63" t="s">
        <v>4</v>
      </c>
      <c r="B8" s="63" t="s">
        <v>10</v>
      </c>
      <c r="C8" s="63" t="s">
        <v>2136</v>
      </c>
      <c r="D8" s="63" t="s">
        <v>927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8"/>
  <sheetViews>
    <sheetView workbookViewId="0"/>
  </sheetViews>
  <sheetFormatPr defaultRowHeight="12.75" x14ac:dyDescent="0.2"/>
  <sheetData>
    <row r="1" spans="1:24" x14ac:dyDescent="0.2">
      <c r="A1" s="63" t="s">
        <v>3297</v>
      </c>
      <c r="B1" s="63" t="s">
        <v>11</v>
      </c>
      <c r="C1" s="63" t="s">
        <v>11</v>
      </c>
      <c r="E1" s="63" t="s">
        <v>12</v>
      </c>
      <c r="F1" s="63" t="s">
        <v>12</v>
      </c>
      <c r="G1" s="63" t="s">
        <v>12</v>
      </c>
      <c r="H1" s="63" t="s">
        <v>12</v>
      </c>
      <c r="I1" s="63" t="s">
        <v>12</v>
      </c>
      <c r="J1" s="63" t="s">
        <v>12</v>
      </c>
      <c r="K1" s="63" t="s">
        <v>12</v>
      </c>
      <c r="L1" s="63" t="s">
        <v>12</v>
      </c>
      <c r="N1" s="63" t="s">
        <v>12</v>
      </c>
      <c r="O1" s="63" t="s">
        <v>12</v>
      </c>
      <c r="P1" s="63" t="s">
        <v>12</v>
      </c>
      <c r="Q1" s="63" t="s">
        <v>12</v>
      </c>
      <c r="S1" s="63" t="s">
        <v>12</v>
      </c>
      <c r="T1" s="63" t="s">
        <v>12</v>
      </c>
      <c r="U1" s="63" t="s">
        <v>12</v>
      </c>
      <c r="W1" s="63" t="s">
        <v>12</v>
      </c>
    </row>
    <row r="2" spans="1:24" x14ac:dyDescent="0.2">
      <c r="A2" s="63" t="s">
        <v>13</v>
      </c>
      <c r="B2" s="63" t="s">
        <v>5</v>
      </c>
      <c r="C2" s="63" t="s">
        <v>3291</v>
      </c>
    </row>
    <row r="3" spans="1:24" x14ac:dyDescent="0.2">
      <c r="B3" s="63" t="s">
        <v>6</v>
      </c>
      <c r="C3" s="63" t="s">
        <v>3292</v>
      </c>
    </row>
    <row r="4" spans="1:24" x14ac:dyDescent="0.2">
      <c r="B4" s="63" t="s">
        <v>14</v>
      </c>
      <c r="C4" s="63" t="s">
        <v>35</v>
      </c>
      <c r="E4" s="63" t="s">
        <v>15</v>
      </c>
    </row>
    <row r="5" spans="1:24" x14ac:dyDescent="0.2">
      <c r="B5" s="63" t="s">
        <v>16</v>
      </c>
      <c r="C5" s="63" t="s">
        <v>36</v>
      </c>
    </row>
    <row r="6" spans="1:24" x14ac:dyDescent="0.2">
      <c r="E6" s="63" t="s">
        <v>10</v>
      </c>
      <c r="F6" s="63" t="s">
        <v>37</v>
      </c>
    </row>
    <row r="7" spans="1:24" x14ac:dyDescent="0.2">
      <c r="E7" s="63" t="s">
        <v>7</v>
      </c>
      <c r="F7" s="63" t="s">
        <v>38</v>
      </c>
    </row>
    <row r="8" spans="1:24" x14ac:dyDescent="0.2">
      <c r="E8" s="63" t="s">
        <v>9</v>
      </c>
      <c r="F8" s="63" t="s">
        <v>39</v>
      </c>
      <c r="I8" s="63" t="s">
        <v>40</v>
      </c>
      <c r="N8" s="63" t="s">
        <v>41</v>
      </c>
    </row>
    <row r="9" spans="1:24" x14ac:dyDescent="0.2">
      <c r="B9" s="63" t="s">
        <v>2573</v>
      </c>
      <c r="C9" s="63" t="s">
        <v>17</v>
      </c>
    </row>
    <row r="10" spans="1:24" x14ac:dyDescent="0.2">
      <c r="S10" s="63" t="s">
        <v>18</v>
      </c>
    </row>
    <row r="11" spans="1:24" x14ac:dyDescent="0.2">
      <c r="E11" s="63" t="s">
        <v>19</v>
      </c>
      <c r="F11" s="63" t="s">
        <v>10</v>
      </c>
      <c r="G11" s="63" t="s">
        <v>20</v>
      </c>
      <c r="H11" s="63" t="s">
        <v>21</v>
      </c>
      <c r="I11" s="63" t="s">
        <v>22</v>
      </c>
      <c r="J11" s="63" t="s">
        <v>23</v>
      </c>
      <c r="K11" s="63" t="s">
        <v>24</v>
      </c>
      <c r="L11" s="63" t="s">
        <v>25</v>
      </c>
      <c r="N11" s="63" t="s">
        <v>22</v>
      </c>
      <c r="O11" s="63" t="s">
        <v>23</v>
      </c>
      <c r="P11" s="63" t="s">
        <v>24</v>
      </c>
      <c r="Q11" s="63" t="s">
        <v>25</v>
      </c>
      <c r="S11" s="63" t="s">
        <v>22</v>
      </c>
      <c r="T11" s="63" t="s">
        <v>23</v>
      </c>
      <c r="U11" s="63" t="s">
        <v>24</v>
      </c>
      <c r="W11" s="63" t="s">
        <v>25</v>
      </c>
    </row>
    <row r="12" spans="1:24" x14ac:dyDescent="0.2">
      <c r="C12" s="63" t="s">
        <v>42</v>
      </c>
      <c r="E12" s="63" t="s">
        <v>2574</v>
      </c>
    </row>
    <row r="13" spans="1:24" x14ac:dyDescent="0.2">
      <c r="C13" s="63" t="s">
        <v>43</v>
      </c>
      <c r="F13" s="63" t="s">
        <v>928</v>
      </c>
      <c r="G13" s="63" t="s">
        <v>929</v>
      </c>
      <c r="H13" s="63" t="s">
        <v>930</v>
      </c>
      <c r="I13" s="63" t="s">
        <v>931</v>
      </c>
      <c r="J13" s="63" t="s">
        <v>932</v>
      </c>
      <c r="K13" s="63" t="s">
        <v>44</v>
      </c>
      <c r="L13" s="63" t="s">
        <v>45</v>
      </c>
      <c r="N13" s="63" t="s">
        <v>933</v>
      </c>
      <c r="O13" s="63" t="s">
        <v>934</v>
      </c>
      <c r="P13" s="63" t="s">
        <v>46</v>
      </c>
      <c r="Q13" s="63" t="s">
        <v>47</v>
      </c>
      <c r="S13" s="63" t="s">
        <v>48</v>
      </c>
      <c r="T13" s="63" t="s">
        <v>49</v>
      </c>
      <c r="U13" s="63" t="s">
        <v>50</v>
      </c>
      <c r="W13" s="63" t="s">
        <v>51</v>
      </c>
      <c r="X13" s="63" t="s">
        <v>52</v>
      </c>
    </row>
    <row r="14" spans="1:24" x14ac:dyDescent="0.2">
      <c r="A14" s="63" t="s">
        <v>26</v>
      </c>
      <c r="C14" s="63" t="s">
        <v>53</v>
      </c>
      <c r="F14" s="63" t="s">
        <v>1469</v>
      </c>
      <c r="G14" s="63" t="s">
        <v>1479</v>
      </c>
      <c r="H14" s="63" t="s">
        <v>1483</v>
      </c>
      <c r="I14" s="63" t="s">
        <v>1487</v>
      </c>
      <c r="J14" s="63" t="s">
        <v>1491</v>
      </c>
      <c r="K14" s="63" t="s">
        <v>75</v>
      </c>
      <c r="L14" s="63" t="s">
        <v>76</v>
      </c>
      <c r="N14" s="63" t="s">
        <v>1495</v>
      </c>
      <c r="O14" s="63" t="s">
        <v>1499</v>
      </c>
      <c r="P14" s="63" t="s">
        <v>77</v>
      </c>
      <c r="Q14" s="63" t="s">
        <v>78</v>
      </c>
      <c r="S14" s="63" t="s">
        <v>79</v>
      </c>
      <c r="T14" s="63" t="s">
        <v>80</v>
      </c>
      <c r="U14" s="63" t="s">
        <v>81</v>
      </c>
      <c r="W14" s="63" t="s">
        <v>82</v>
      </c>
      <c r="X14" s="63" t="s">
        <v>54</v>
      </c>
    </row>
    <row r="15" spans="1:24" x14ac:dyDescent="0.2">
      <c r="A15" s="63" t="s">
        <v>26</v>
      </c>
      <c r="C15" s="63" t="s">
        <v>55</v>
      </c>
      <c r="F15" s="63" t="s">
        <v>1470</v>
      </c>
      <c r="G15" s="63" t="s">
        <v>1480</v>
      </c>
      <c r="H15" s="63" t="s">
        <v>1484</v>
      </c>
      <c r="I15" s="63" t="s">
        <v>1488</v>
      </c>
      <c r="J15" s="63" t="s">
        <v>1492</v>
      </c>
      <c r="K15" s="63" t="s">
        <v>83</v>
      </c>
      <c r="L15" s="63" t="s">
        <v>60</v>
      </c>
      <c r="N15" s="63" t="s">
        <v>1496</v>
      </c>
      <c r="O15" s="63" t="s">
        <v>1500</v>
      </c>
      <c r="P15" s="63" t="s">
        <v>84</v>
      </c>
      <c r="Q15" s="63" t="s">
        <v>62</v>
      </c>
      <c r="S15" s="63" t="s">
        <v>85</v>
      </c>
      <c r="T15" s="63" t="s">
        <v>86</v>
      </c>
      <c r="U15" s="63" t="s">
        <v>87</v>
      </c>
      <c r="W15" s="63" t="s">
        <v>66</v>
      </c>
      <c r="X15" s="63" t="s">
        <v>67</v>
      </c>
    </row>
    <row r="16" spans="1:24" x14ac:dyDescent="0.2">
      <c r="A16" s="63" t="s">
        <v>26</v>
      </c>
      <c r="C16" s="63" t="s">
        <v>68</v>
      </c>
      <c r="F16" s="63" t="s">
        <v>1471</v>
      </c>
      <c r="G16" s="63" t="s">
        <v>1481</v>
      </c>
      <c r="H16" s="63" t="s">
        <v>1485</v>
      </c>
      <c r="I16" s="63" t="s">
        <v>1489</v>
      </c>
      <c r="J16" s="63" t="s">
        <v>1493</v>
      </c>
      <c r="K16" s="63" t="s">
        <v>88</v>
      </c>
      <c r="L16" s="63" t="s">
        <v>89</v>
      </c>
      <c r="N16" s="63" t="s">
        <v>1497</v>
      </c>
      <c r="O16" s="63" t="s">
        <v>1501</v>
      </c>
      <c r="P16" s="63" t="s">
        <v>90</v>
      </c>
      <c r="Q16" s="63" t="s">
        <v>91</v>
      </c>
      <c r="S16" s="63" t="s">
        <v>92</v>
      </c>
      <c r="T16" s="63" t="s">
        <v>93</v>
      </c>
      <c r="U16" s="63" t="s">
        <v>94</v>
      </c>
      <c r="W16" s="63" t="s">
        <v>95</v>
      </c>
      <c r="X16" s="63" t="s">
        <v>69</v>
      </c>
    </row>
    <row r="17" spans="1:24" x14ac:dyDescent="0.2">
      <c r="A17" s="63" t="s">
        <v>26</v>
      </c>
      <c r="C17" s="63" t="s">
        <v>70</v>
      </c>
      <c r="F17" s="63" t="s">
        <v>1472</v>
      </c>
      <c r="G17" s="63" t="s">
        <v>1482</v>
      </c>
      <c r="H17" s="63" t="s">
        <v>1486</v>
      </c>
      <c r="I17" s="63" t="s">
        <v>1490</v>
      </c>
      <c r="J17" s="63" t="s">
        <v>1494</v>
      </c>
      <c r="K17" s="63" t="s">
        <v>96</v>
      </c>
      <c r="L17" s="63" t="s">
        <v>71</v>
      </c>
      <c r="N17" s="63" t="s">
        <v>1498</v>
      </c>
      <c r="O17" s="63" t="s">
        <v>1502</v>
      </c>
      <c r="P17" s="63" t="s">
        <v>97</v>
      </c>
      <c r="Q17" s="63" t="s">
        <v>72</v>
      </c>
      <c r="S17" s="63" t="s">
        <v>98</v>
      </c>
      <c r="T17" s="63" t="s">
        <v>99</v>
      </c>
      <c r="U17" s="63" t="s">
        <v>100</v>
      </c>
      <c r="W17" s="63" t="s">
        <v>73</v>
      </c>
      <c r="X17" s="63" t="s">
        <v>74</v>
      </c>
    </row>
    <row r="18" spans="1:24" x14ac:dyDescent="0.2">
      <c r="A18" s="63" t="s">
        <v>26</v>
      </c>
      <c r="C18" s="63" t="s">
        <v>2009</v>
      </c>
      <c r="F18" s="63" t="s">
        <v>1473</v>
      </c>
      <c r="G18" s="63" t="s">
        <v>2094</v>
      </c>
      <c r="H18" s="63" t="s">
        <v>2101</v>
      </c>
      <c r="I18" s="63" t="s">
        <v>2108</v>
      </c>
      <c r="J18" s="63" t="s">
        <v>2115</v>
      </c>
      <c r="K18" s="63" t="s">
        <v>2028</v>
      </c>
      <c r="L18" s="63" t="s">
        <v>2013</v>
      </c>
      <c r="N18" s="63" t="s">
        <v>2122</v>
      </c>
      <c r="O18" s="63" t="s">
        <v>2129</v>
      </c>
      <c r="P18" s="63" t="s">
        <v>2029</v>
      </c>
      <c r="Q18" s="63" t="s">
        <v>2017</v>
      </c>
      <c r="S18" s="63" t="s">
        <v>2030</v>
      </c>
      <c r="T18" s="63" t="s">
        <v>2031</v>
      </c>
      <c r="U18" s="63" t="s">
        <v>2032</v>
      </c>
      <c r="W18" s="63" t="s">
        <v>2021</v>
      </c>
      <c r="X18" s="63" t="s">
        <v>101</v>
      </c>
    </row>
    <row r="19" spans="1:24" x14ac:dyDescent="0.2">
      <c r="A19" s="63" t="s">
        <v>26</v>
      </c>
      <c r="C19" s="63" t="s">
        <v>102</v>
      </c>
      <c r="F19" s="63" t="s">
        <v>1474</v>
      </c>
      <c r="G19" s="63" t="s">
        <v>2095</v>
      </c>
      <c r="H19" s="63" t="s">
        <v>2102</v>
      </c>
      <c r="I19" s="63" t="s">
        <v>2109</v>
      </c>
      <c r="J19" s="63" t="s">
        <v>2116</v>
      </c>
      <c r="K19" s="63" t="s">
        <v>2033</v>
      </c>
      <c r="L19" s="63" t="s">
        <v>103</v>
      </c>
      <c r="N19" s="63" t="s">
        <v>2123</v>
      </c>
      <c r="O19" s="63" t="s">
        <v>2130</v>
      </c>
      <c r="P19" s="63" t="s">
        <v>2034</v>
      </c>
      <c r="Q19" s="63" t="s">
        <v>104</v>
      </c>
      <c r="S19" s="63" t="s">
        <v>2035</v>
      </c>
      <c r="T19" s="63" t="s">
        <v>2036</v>
      </c>
      <c r="U19" s="63" t="s">
        <v>2037</v>
      </c>
      <c r="W19" s="63" t="s">
        <v>105</v>
      </c>
      <c r="X19" s="63" t="s">
        <v>106</v>
      </c>
    </row>
    <row r="20" spans="1:24" x14ac:dyDescent="0.2">
      <c r="A20" s="63" t="s">
        <v>26</v>
      </c>
      <c r="C20" s="63" t="s">
        <v>107</v>
      </c>
      <c r="F20" s="63" t="s">
        <v>1475</v>
      </c>
      <c r="G20" s="63" t="s">
        <v>2096</v>
      </c>
      <c r="H20" s="63" t="s">
        <v>2103</v>
      </c>
      <c r="I20" s="63" t="s">
        <v>2110</v>
      </c>
      <c r="J20" s="63" t="s">
        <v>2117</v>
      </c>
      <c r="K20" s="63" t="s">
        <v>2038</v>
      </c>
      <c r="L20" s="63" t="s">
        <v>2039</v>
      </c>
      <c r="N20" s="63" t="s">
        <v>2124</v>
      </c>
      <c r="O20" s="63" t="s">
        <v>2131</v>
      </c>
      <c r="P20" s="63" t="s">
        <v>2040</v>
      </c>
      <c r="Q20" s="63" t="s">
        <v>2041</v>
      </c>
      <c r="S20" s="63" t="s">
        <v>2042</v>
      </c>
      <c r="T20" s="63" t="s">
        <v>2043</v>
      </c>
      <c r="U20" s="63" t="s">
        <v>2044</v>
      </c>
      <c r="W20" s="63" t="s">
        <v>2045</v>
      </c>
      <c r="X20" s="63" t="s">
        <v>108</v>
      </c>
    </row>
    <row r="21" spans="1:24" x14ac:dyDescent="0.2">
      <c r="A21" s="63" t="s">
        <v>26</v>
      </c>
      <c r="C21" s="63" t="s">
        <v>149</v>
      </c>
      <c r="F21" s="63" t="s">
        <v>1476</v>
      </c>
      <c r="G21" s="63" t="s">
        <v>2097</v>
      </c>
      <c r="H21" s="63" t="s">
        <v>2104</v>
      </c>
      <c r="I21" s="63" t="s">
        <v>2111</v>
      </c>
      <c r="J21" s="63" t="s">
        <v>2118</v>
      </c>
      <c r="K21" s="63" t="s">
        <v>2046</v>
      </c>
      <c r="L21" s="63" t="s">
        <v>2047</v>
      </c>
      <c r="N21" s="63" t="s">
        <v>2125</v>
      </c>
      <c r="O21" s="63" t="s">
        <v>2132</v>
      </c>
      <c r="P21" s="63" t="s">
        <v>2048</v>
      </c>
      <c r="Q21" s="63" t="s">
        <v>2049</v>
      </c>
      <c r="S21" s="63" t="s">
        <v>2050</v>
      </c>
      <c r="T21" s="63" t="s">
        <v>2051</v>
      </c>
      <c r="U21" s="63" t="s">
        <v>2052</v>
      </c>
      <c r="W21" s="63" t="s">
        <v>2053</v>
      </c>
      <c r="X21" s="63" t="s">
        <v>2054</v>
      </c>
    </row>
    <row r="22" spans="1:24" x14ac:dyDescent="0.2">
      <c r="A22" s="63" t="s">
        <v>26</v>
      </c>
      <c r="C22" s="63" t="s">
        <v>109</v>
      </c>
      <c r="F22" s="63" t="s">
        <v>1477</v>
      </c>
      <c r="G22" s="63" t="s">
        <v>1995</v>
      </c>
      <c r="H22" s="63" t="s">
        <v>1997</v>
      </c>
      <c r="I22" s="63" t="s">
        <v>1999</v>
      </c>
      <c r="J22" s="63" t="s">
        <v>2001</v>
      </c>
      <c r="K22" s="63" t="s">
        <v>110</v>
      </c>
      <c r="L22" s="63" t="s">
        <v>111</v>
      </c>
      <c r="N22" s="63" t="s">
        <v>2003</v>
      </c>
      <c r="O22" s="63" t="s">
        <v>2005</v>
      </c>
      <c r="P22" s="63" t="s">
        <v>112</v>
      </c>
      <c r="Q22" s="63" t="s">
        <v>113</v>
      </c>
      <c r="S22" s="63" t="s">
        <v>114</v>
      </c>
      <c r="T22" s="63" t="s">
        <v>115</v>
      </c>
      <c r="U22" s="63" t="s">
        <v>116</v>
      </c>
      <c r="W22" s="63" t="s">
        <v>117</v>
      </c>
      <c r="X22" s="63" t="s">
        <v>118</v>
      </c>
    </row>
    <row r="23" spans="1:24" x14ac:dyDescent="0.2">
      <c r="A23" s="63" t="s">
        <v>26</v>
      </c>
      <c r="C23" s="63" t="s">
        <v>119</v>
      </c>
      <c r="F23" s="63" t="s">
        <v>1478</v>
      </c>
      <c r="G23" s="63" t="s">
        <v>1996</v>
      </c>
      <c r="H23" s="63" t="s">
        <v>1998</v>
      </c>
      <c r="I23" s="63" t="s">
        <v>2000</v>
      </c>
      <c r="J23" s="63" t="s">
        <v>2002</v>
      </c>
      <c r="K23" s="63" t="s">
        <v>150</v>
      </c>
      <c r="L23" s="63" t="s">
        <v>151</v>
      </c>
      <c r="N23" s="63" t="s">
        <v>2004</v>
      </c>
      <c r="O23" s="63" t="s">
        <v>2006</v>
      </c>
      <c r="P23" s="63" t="s">
        <v>152</v>
      </c>
      <c r="Q23" s="63" t="s">
        <v>153</v>
      </c>
      <c r="S23" s="63" t="s">
        <v>154</v>
      </c>
      <c r="T23" s="63" t="s">
        <v>155</v>
      </c>
      <c r="U23" s="63" t="s">
        <v>156</v>
      </c>
      <c r="W23" s="63" t="s">
        <v>157</v>
      </c>
      <c r="X23" s="63" t="s">
        <v>120</v>
      </c>
    </row>
    <row r="24" spans="1:24" x14ac:dyDescent="0.2">
      <c r="C24" s="63" t="s">
        <v>53</v>
      </c>
      <c r="X24" s="63" t="s">
        <v>121</v>
      </c>
    </row>
    <row r="25" spans="1:24" x14ac:dyDescent="0.2">
      <c r="C25" s="63" t="s">
        <v>2055</v>
      </c>
      <c r="H25" s="63" t="s">
        <v>56</v>
      </c>
      <c r="I25" s="63" t="s">
        <v>2575</v>
      </c>
      <c r="J25" s="63" t="s">
        <v>2576</v>
      </c>
      <c r="K25" s="63" t="s">
        <v>2577</v>
      </c>
      <c r="L25" s="63" t="s">
        <v>2056</v>
      </c>
      <c r="N25" s="63" t="s">
        <v>2578</v>
      </c>
      <c r="O25" s="63" t="s">
        <v>2579</v>
      </c>
      <c r="P25" s="63" t="s">
        <v>2580</v>
      </c>
      <c r="Q25" s="63" t="s">
        <v>2057</v>
      </c>
      <c r="S25" s="63" t="s">
        <v>2581</v>
      </c>
      <c r="T25" s="63" t="s">
        <v>2582</v>
      </c>
      <c r="U25" s="63" t="s">
        <v>2583</v>
      </c>
      <c r="W25" s="63" t="s">
        <v>2058</v>
      </c>
      <c r="X25" s="63" t="s">
        <v>122</v>
      </c>
    </row>
    <row r="26" spans="1:24" x14ac:dyDescent="0.2">
      <c r="C26" s="63" t="s">
        <v>158</v>
      </c>
    </row>
    <row r="27" spans="1:24" x14ac:dyDescent="0.2">
      <c r="A27" s="63" t="s">
        <v>26</v>
      </c>
      <c r="C27" s="63" t="s">
        <v>2584</v>
      </c>
      <c r="E27" s="63" t="s">
        <v>873</v>
      </c>
    </row>
    <row r="28" spans="1:24" x14ac:dyDescent="0.2">
      <c r="A28" s="63" t="s">
        <v>26</v>
      </c>
      <c r="C28" s="63" t="s">
        <v>2059</v>
      </c>
      <c r="F28" s="63" t="s">
        <v>2585</v>
      </c>
      <c r="G28" s="63" t="s">
        <v>2098</v>
      </c>
      <c r="H28" s="63" t="s">
        <v>2105</v>
      </c>
      <c r="I28" s="63" t="s">
        <v>2112</v>
      </c>
      <c r="J28" s="63" t="s">
        <v>2119</v>
      </c>
      <c r="K28" s="63" t="s">
        <v>2060</v>
      </c>
      <c r="L28" s="63" t="s">
        <v>2061</v>
      </c>
      <c r="N28" s="63" t="s">
        <v>2126</v>
      </c>
      <c r="O28" s="63" t="s">
        <v>2133</v>
      </c>
      <c r="P28" s="63" t="s">
        <v>2062</v>
      </c>
      <c r="Q28" s="63" t="s">
        <v>2063</v>
      </c>
      <c r="S28" s="63" t="s">
        <v>2064</v>
      </c>
      <c r="T28" s="63" t="s">
        <v>2065</v>
      </c>
      <c r="U28" s="63" t="s">
        <v>2066</v>
      </c>
      <c r="W28" s="63" t="s">
        <v>2067</v>
      </c>
      <c r="X28" s="63" t="s">
        <v>2068</v>
      </c>
    </row>
    <row r="29" spans="1:24" x14ac:dyDescent="0.2">
      <c r="A29" s="63" t="s">
        <v>26</v>
      </c>
      <c r="C29" s="63" t="s">
        <v>124</v>
      </c>
      <c r="F29" s="63" t="s">
        <v>875</v>
      </c>
      <c r="G29" s="63" t="s">
        <v>1977</v>
      </c>
      <c r="H29" s="63" t="s">
        <v>1980</v>
      </c>
      <c r="I29" s="63" t="s">
        <v>1983</v>
      </c>
      <c r="J29" s="63" t="s">
        <v>1986</v>
      </c>
      <c r="K29" s="63" t="s">
        <v>125</v>
      </c>
      <c r="L29" s="63" t="s">
        <v>126</v>
      </c>
      <c r="N29" s="63" t="s">
        <v>1989</v>
      </c>
      <c r="O29" s="63" t="s">
        <v>1992</v>
      </c>
      <c r="P29" s="63" t="s">
        <v>127</v>
      </c>
      <c r="Q29" s="63" t="s">
        <v>128</v>
      </c>
      <c r="S29" s="63" t="s">
        <v>129</v>
      </c>
      <c r="T29" s="63" t="s">
        <v>130</v>
      </c>
      <c r="U29" s="63" t="s">
        <v>131</v>
      </c>
      <c r="W29" s="63" t="s">
        <v>132</v>
      </c>
      <c r="X29" s="63" t="s">
        <v>133</v>
      </c>
    </row>
    <row r="30" spans="1:24" x14ac:dyDescent="0.2">
      <c r="A30" s="63" t="s">
        <v>26</v>
      </c>
      <c r="C30" s="63" t="s">
        <v>159</v>
      </c>
      <c r="F30" s="63" t="s">
        <v>877</v>
      </c>
      <c r="G30" s="63" t="s">
        <v>1978</v>
      </c>
      <c r="H30" s="63" t="s">
        <v>1981</v>
      </c>
      <c r="I30" s="63" t="s">
        <v>1984</v>
      </c>
      <c r="J30" s="63" t="s">
        <v>1987</v>
      </c>
      <c r="K30" s="63" t="s">
        <v>160</v>
      </c>
      <c r="L30" s="63" t="s">
        <v>161</v>
      </c>
      <c r="N30" s="63" t="s">
        <v>1990</v>
      </c>
      <c r="O30" s="63" t="s">
        <v>1993</v>
      </c>
      <c r="P30" s="63" t="s">
        <v>162</v>
      </c>
      <c r="Q30" s="63" t="s">
        <v>163</v>
      </c>
      <c r="S30" s="63" t="s">
        <v>164</v>
      </c>
      <c r="T30" s="63" t="s">
        <v>165</v>
      </c>
      <c r="U30" s="63" t="s">
        <v>166</v>
      </c>
      <c r="W30" s="63" t="s">
        <v>167</v>
      </c>
      <c r="X30" s="63" t="s">
        <v>134</v>
      </c>
    </row>
    <row r="31" spans="1:24" x14ac:dyDescent="0.2">
      <c r="A31" s="63" t="s">
        <v>26</v>
      </c>
      <c r="C31" s="63" t="s">
        <v>135</v>
      </c>
      <c r="F31" s="63" t="s">
        <v>888</v>
      </c>
      <c r="G31" s="63" t="s">
        <v>1979</v>
      </c>
      <c r="H31" s="63" t="s">
        <v>1982</v>
      </c>
      <c r="I31" s="63" t="s">
        <v>1985</v>
      </c>
      <c r="J31" s="63" t="s">
        <v>1988</v>
      </c>
      <c r="K31" s="63" t="s">
        <v>168</v>
      </c>
      <c r="L31" s="63" t="s">
        <v>136</v>
      </c>
      <c r="N31" s="63" t="s">
        <v>1991</v>
      </c>
      <c r="O31" s="63" t="s">
        <v>1994</v>
      </c>
      <c r="P31" s="63" t="s">
        <v>169</v>
      </c>
      <c r="Q31" s="63" t="s">
        <v>137</v>
      </c>
      <c r="S31" s="63" t="s">
        <v>170</v>
      </c>
      <c r="T31" s="63" t="s">
        <v>171</v>
      </c>
      <c r="U31" s="63" t="s">
        <v>172</v>
      </c>
      <c r="W31" s="63" t="s">
        <v>138</v>
      </c>
      <c r="X31" s="63" t="s">
        <v>139</v>
      </c>
    </row>
    <row r="32" spans="1:24" x14ac:dyDescent="0.2">
      <c r="A32" s="63" t="s">
        <v>26</v>
      </c>
      <c r="C32" s="63" t="s">
        <v>2069</v>
      </c>
      <c r="F32" s="63" t="s">
        <v>899</v>
      </c>
      <c r="G32" s="63" t="s">
        <v>2099</v>
      </c>
      <c r="H32" s="63" t="s">
        <v>2106</v>
      </c>
      <c r="I32" s="63" t="s">
        <v>2113</v>
      </c>
      <c r="J32" s="63" t="s">
        <v>2120</v>
      </c>
      <c r="K32" s="63" t="s">
        <v>2070</v>
      </c>
      <c r="L32" s="63" t="s">
        <v>2071</v>
      </c>
      <c r="N32" s="63" t="s">
        <v>2127</v>
      </c>
      <c r="O32" s="63" t="s">
        <v>2134</v>
      </c>
      <c r="P32" s="63" t="s">
        <v>2072</v>
      </c>
      <c r="Q32" s="63" t="s">
        <v>2073</v>
      </c>
      <c r="S32" s="63" t="s">
        <v>2074</v>
      </c>
      <c r="T32" s="63" t="s">
        <v>2075</v>
      </c>
      <c r="U32" s="63" t="s">
        <v>2076</v>
      </c>
      <c r="W32" s="63" t="s">
        <v>2077</v>
      </c>
      <c r="X32" s="63" t="s">
        <v>140</v>
      </c>
    </row>
    <row r="33" spans="1:24" x14ac:dyDescent="0.2">
      <c r="A33" s="63" t="s">
        <v>26</v>
      </c>
      <c r="C33" s="63" t="s">
        <v>124</v>
      </c>
      <c r="X33" s="63" t="s">
        <v>173</v>
      </c>
    </row>
    <row r="34" spans="1:24" x14ac:dyDescent="0.2">
      <c r="A34" s="63" t="s">
        <v>26</v>
      </c>
      <c r="C34" s="63" t="s">
        <v>141</v>
      </c>
      <c r="H34" s="63" t="s">
        <v>2586</v>
      </c>
      <c r="I34" s="63" t="s">
        <v>2587</v>
      </c>
      <c r="J34" s="63" t="s">
        <v>2588</v>
      </c>
      <c r="K34" s="63" t="s">
        <v>2589</v>
      </c>
      <c r="L34" s="63" t="s">
        <v>2078</v>
      </c>
      <c r="N34" s="63" t="s">
        <v>2590</v>
      </c>
      <c r="O34" s="63" t="s">
        <v>2591</v>
      </c>
      <c r="P34" s="63" t="s">
        <v>2592</v>
      </c>
      <c r="Q34" s="63" t="s">
        <v>2079</v>
      </c>
      <c r="S34" s="63" t="s">
        <v>2593</v>
      </c>
      <c r="T34" s="63" t="s">
        <v>2594</v>
      </c>
      <c r="U34" s="63" t="s">
        <v>2595</v>
      </c>
      <c r="W34" s="63" t="s">
        <v>2080</v>
      </c>
      <c r="X34" s="63" t="s">
        <v>142</v>
      </c>
    </row>
    <row r="35" spans="1:24" x14ac:dyDescent="0.2">
      <c r="A35" s="63" t="s">
        <v>26</v>
      </c>
      <c r="C35" s="63" t="s">
        <v>2081</v>
      </c>
    </row>
    <row r="36" spans="1:24" x14ac:dyDescent="0.2">
      <c r="A36" s="63" t="s">
        <v>26</v>
      </c>
      <c r="C36" s="63" t="s">
        <v>2596</v>
      </c>
      <c r="E36" s="63" t="s">
        <v>834</v>
      </c>
    </row>
    <row r="37" spans="1:24" x14ac:dyDescent="0.2">
      <c r="A37" s="63" t="s">
        <v>26</v>
      </c>
      <c r="C37" s="63" t="s">
        <v>174</v>
      </c>
      <c r="F37" s="63" t="s">
        <v>2597</v>
      </c>
      <c r="G37" s="63" t="s">
        <v>1953</v>
      </c>
      <c r="H37" s="63" t="s">
        <v>1957</v>
      </c>
      <c r="I37" s="63" t="s">
        <v>1961</v>
      </c>
      <c r="J37" s="63" t="s">
        <v>1965</v>
      </c>
      <c r="K37" s="63" t="s">
        <v>187</v>
      </c>
      <c r="L37" s="63" t="s">
        <v>188</v>
      </c>
      <c r="N37" s="63" t="s">
        <v>1969</v>
      </c>
      <c r="O37" s="63" t="s">
        <v>1973</v>
      </c>
      <c r="P37" s="63" t="s">
        <v>189</v>
      </c>
      <c r="Q37" s="63" t="s">
        <v>190</v>
      </c>
      <c r="S37" s="63" t="s">
        <v>191</v>
      </c>
      <c r="T37" s="63" t="s">
        <v>192</v>
      </c>
      <c r="U37" s="63" t="s">
        <v>193</v>
      </c>
      <c r="W37" s="63" t="s">
        <v>194</v>
      </c>
      <c r="X37" s="63" t="s">
        <v>143</v>
      </c>
    </row>
    <row r="38" spans="1:24" x14ac:dyDescent="0.2">
      <c r="A38" s="63" t="s">
        <v>26</v>
      </c>
      <c r="C38" s="63" t="s">
        <v>144</v>
      </c>
      <c r="F38" s="63" t="s">
        <v>846</v>
      </c>
      <c r="G38" s="63" t="s">
        <v>1954</v>
      </c>
      <c r="H38" s="63" t="s">
        <v>1958</v>
      </c>
      <c r="I38" s="63" t="s">
        <v>1962</v>
      </c>
      <c r="J38" s="63" t="s">
        <v>1966</v>
      </c>
      <c r="K38" s="63" t="s">
        <v>196</v>
      </c>
      <c r="L38" s="63" t="s">
        <v>145</v>
      </c>
      <c r="N38" s="63" t="s">
        <v>1970</v>
      </c>
      <c r="O38" s="63" t="s">
        <v>1974</v>
      </c>
      <c r="P38" s="63" t="s">
        <v>197</v>
      </c>
      <c r="Q38" s="63" t="s">
        <v>146</v>
      </c>
      <c r="S38" s="63" t="s">
        <v>198</v>
      </c>
      <c r="T38" s="63" t="s">
        <v>199</v>
      </c>
      <c r="U38" s="63" t="s">
        <v>200</v>
      </c>
      <c r="W38" s="63" t="s">
        <v>147</v>
      </c>
      <c r="X38" s="63" t="s">
        <v>148</v>
      </c>
    </row>
    <row r="39" spans="1:24" x14ac:dyDescent="0.2">
      <c r="A39" s="63" t="s">
        <v>26</v>
      </c>
      <c r="C39" s="63" t="s">
        <v>201</v>
      </c>
      <c r="F39" s="63" t="s">
        <v>856</v>
      </c>
      <c r="G39" s="63" t="s">
        <v>1955</v>
      </c>
      <c r="H39" s="63" t="s">
        <v>1959</v>
      </c>
      <c r="I39" s="63" t="s">
        <v>1963</v>
      </c>
      <c r="J39" s="63" t="s">
        <v>1967</v>
      </c>
      <c r="K39" s="63" t="s">
        <v>203</v>
      </c>
      <c r="L39" s="63" t="s">
        <v>204</v>
      </c>
      <c r="N39" s="63" t="s">
        <v>1971</v>
      </c>
      <c r="O39" s="63" t="s">
        <v>1975</v>
      </c>
      <c r="P39" s="63" t="s">
        <v>205</v>
      </c>
      <c r="Q39" s="63" t="s">
        <v>206</v>
      </c>
      <c r="S39" s="63" t="s">
        <v>207</v>
      </c>
      <c r="T39" s="63" t="s">
        <v>208</v>
      </c>
      <c r="U39" s="63" t="s">
        <v>209</v>
      </c>
      <c r="W39" s="63" t="s">
        <v>210</v>
      </c>
      <c r="X39" s="63" t="s">
        <v>211</v>
      </c>
    </row>
    <row r="40" spans="1:24" x14ac:dyDescent="0.2">
      <c r="A40" s="63" t="s">
        <v>26</v>
      </c>
      <c r="C40" s="63" t="s">
        <v>212</v>
      </c>
      <c r="F40" s="63" t="s">
        <v>859</v>
      </c>
      <c r="G40" s="63" t="s">
        <v>1956</v>
      </c>
      <c r="H40" s="63" t="s">
        <v>1960</v>
      </c>
      <c r="I40" s="63" t="s">
        <v>1964</v>
      </c>
      <c r="J40" s="63" t="s">
        <v>1968</v>
      </c>
      <c r="K40" s="63" t="s">
        <v>214</v>
      </c>
      <c r="L40" s="63" t="s">
        <v>215</v>
      </c>
      <c r="N40" s="63" t="s">
        <v>1972</v>
      </c>
      <c r="O40" s="63" t="s">
        <v>1976</v>
      </c>
      <c r="P40" s="63" t="s">
        <v>216</v>
      </c>
      <c r="Q40" s="63" t="s">
        <v>217</v>
      </c>
      <c r="S40" s="63" t="s">
        <v>218</v>
      </c>
      <c r="T40" s="63" t="s">
        <v>219</v>
      </c>
      <c r="U40" s="63" t="s">
        <v>220</v>
      </c>
      <c r="W40" s="63" t="s">
        <v>221</v>
      </c>
      <c r="X40" s="63" t="s">
        <v>222</v>
      </c>
    </row>
    <row r="41" spans="1:24" x14ac:dyDescent="0.2">
      <c r="A41" s="63" t="s">
        <v>26</v>
      </c>
      <c r="C41" s="63" t="s">
        <v>2082</v>
      </c>
      <c r="F41" s="63" t="s">
        <v>865</v>
      </c>
      <c r="G41" s="63" t="s">
        <v>2100</v>
      </c>
      <c r="H41" s="63" t="s">
        <v>2107</v>
      </c>
      <c r="I41" s="63" t="s">
        <v>2114</v>
      </c>
      <c r="J41" s="63" t="s">
        <v>2121</v>
      </c>
      <c r="K41" s="63" t="s">
        <v>2083</v>
      </c>
      <c r="L41" s="63" t="s">
        <v>2084</v>
      </c>
      <c r="N41" s="63" t="s">
        <v>2128</v>
      </c>
      <c r="O41" s="63" t="s">
        <v>2135</v>
      </c>
      <c r="P41" s="63" t="s">
        <v>2085</v>
      </c>
      <c r="Q41" s="63" t="s">
        <v>2086</v>
      </c>
      <c r="S41" s="63" t="s">
        <v>2087</v>
      </c>
      <c r="T41" s="63" t="s">
        <v>2088</v>
      </c>
      <c r="U41" s="63" t="s">
        <v>2089</v>
      </c>
      <c r="W41" s="63" t="s">
        <v>2090</v>
      </c>
      <c r="X41" s="63" t="s">
        <v>223</v>
      </c>
    </row>
    <row r="42" spans="1:24" x14ac:dyDescent="0.2">
      <c r="A42" s="63" t="s">
        <v>26</v>
      </c>
      <c r="C42" s="63" t="s">
        <v>144</v>
      </c>
      <c r="X42" s="63" t="s">
        <v>224</v>
      </c>
    </row>
    <row r="43" spans="1:24" x14ac:dyDescent="0.2">
      <c r="A43" s="63" t="s">
        <v>26</v>
      </c>
      <c r="C43" s="63" t="s">
        <v>225</v>
      </c>
      <c r="H43" s="63" t="s">
        <v>2598</v>
      </c>
      <c r="I43" s="63" t="s">
        <v>2599</v>
      </c>
      <c r="J43" s="63" t="s">
        <v>2600</v>
      </c>
      <c r="K43" s="63" t="s">
        <v>2601</v>
      </c>
      <c r="L43" s="63" t="s">
        <v>2091</v>
      </c>
      <c r="N43" s="63" t="s">
        <v>2602</v>
      </c>
      <c r="O43" s="63" t="s">
        <v>2603</v>
      </c>
      <c r="P43" s="63" t="s">
        <v>2604</v>
      </c>
      <c r="Q43" s="63" t="s">
        <v>2092</v>
      </c>
      <c r="S43" s="63" t="s">
        <v>2605</v>
      </c>
      <c r="T43" s="63" t="s">
        <v>2606</v>
      </c>
      <c r="U43" s="63" t="s">
        <v>2607</v>
      </c>
      <c r="W43" s="63" t="s">
        <v>2093</v>
      </c>
      <c r="X43" s="63" t="s">
        <v>226</v>
      </c>
    </row>
    <row r="44" spans="1:24" x14ac:dyDescent="0.2">
      <c r="A44" s="63" t="s">
        <v>26</v>
      </c>
      <c r="C44" s="63" t="s">
        <v>2608</v>
      </c>
    </row>
    <row r="45" spans="1:24" x14ac:dyDescent="0.2">
      <c r="A45" s="63" t="s">
        <v>26</v>
      </c>
      <c r="C45" s="63" t="s">
        <v>2609</v>
      </c>
      <c r="E45" s="63" t="s">
        <v>824</v>
      </c>
    </row>
    <row r="46" spans="1:24" x14ac:dyDescent="0.2">
      <c r="A46" s="63" t="s">
        <v>26</v>
      </c>
      <c r="C46" s="63" t="s">
        <v>228</v>
      </c>
      <c r="F46" s="63" t="s">
        <v>2610</v>
      </c>
      <c r="G46" s="63" t="s">
        <v>1947</v>
      </c>
      <c r="H46" s="63" t="s">
        <v>1948</v>
      </c>
      <c r="I46" s="63" t="s">
        <v>1949</v>
      </c>
      <c r="J46" s="63" t="s">
        <v>1950</v>
      </c>
      <c r="K46" s="63" t="s">
        <v>230</v>
      </c>
      <c r="L46" s="63" t="s">
        <v>231</v>
      </c>
      <c r="N46" s="63" t="s">
        <v>1951</v>
      </c>
      <c r="O46" s="63" t="s">
        <v>1952</v>
      </c>
      <c r="P46" s="63" t="s">
        <v>232</v>
      </c>
      <c r="Q46" s="63" t="s">
        <v>233</v>
      </c>
      <c r="S46" s="63" t="s">
        <v>234</v>
      </c>
      <c r="T46" s="63" t="s">
        <v>235</v>
      </c>
      <c r="U46" s="63" t="s">
        <v>236</v>
      </c>
      <c r="W46" s="63" t="s">
        <v>237</v>
      </c>
      <c r="X46" s="63" t="s">
        <v>238</v>
      </c>
    </row>
    <row r="47" spans="1:24" x14ac:dyDescent="0.2">
      <c r="A47" s="63" t="s">
        <v>26</v>
      </c>
      <c r="C47" s="63" t="s">
        <v>239</v>
      </c>
      <c r="X47" s="63" t="s">
        <v>241</v>
      </c>
    </row>
    <row r="48" spans="1:24" x14ac:dyDescent="0.2">
      <c r="A48" s="63" t="s">
        <v>26</v>
      </c>
      <c r="C48" s="63" t="s">
        <v>242</v>
      </c>
      <c r="H48" s="63" t="s">
        <v>2611</v>
      </c>
      <c r="I48" s="63" t="s">
        <v>2612</v>
      </c>
      <c r="J48" s="63" t="s">
        <v>2613</v>
      </c>
      <c r="K48" s="63" t="s">
        <v>2614</v>
      </c>
      <c r="L48" s="63" t="s">
        <v>244</v>
      </c>
      <c r="N48" s="63" t="s">
        <v>2615</v>
      </c>
      <c r="O48" s="63" t="s">
        <v>2616</v>
      </c>
      <c r="P48" s="63" t="s">
        <v>2617</v>
      </c>
      <c r="Q48" s="63" t="s">
        <v>245</v>
      </c>
      <c r="S48" s="63" t="s">
        <v>2618</v>
      </c>
      <c r="T48" s="63" t="s">
        <v>2619</v>
      </c>
      <c r="U48" s="63" t="s">
        <v>2620</v>
      </c>
      <c r="W48" s="63" t="s">
        <v>246</v>
      </c>
      <c r="X48" s="63" t="s">
        <v>247</v>
      </c>
    </row>
    <row r="49" spans="1:24" x14ac:dyDescent="0.2">
      <c r="A49" s="63" t="s">
        <v>26</v>
      </c>
      <c r="C49" s="63" t="s">
        <v>248</v>
      </c>
    </row>
    <row r="50" spans="1:24" x14ac:dyDescent="0.2">
      <c r="A50" s="63" t="s">
        <v>26</v>
      </c>
      <c r="C50" s="63" t="s">
        <v>2621</v>
      </c>
      <c r="E50" s="63" t="s">
        <v>772</v>
      </c>
    </row>
    <row r="51" spans="1:24" x14ac:dyDescent="0.2">
      <c r="A51" s="63" t="s">
        <v>26</v>
      </c>
      <c r="C51" s="63" t="s">
        <v>250</v>
      </c>
      <c r="F51" s="63" t="s">
        <v>2622</v>
      </c>
      <c r="G51" s="63" t="s">
        <v>3252</v>
      </c>
      <c r="H51" s="63" t="s">
        <v>3255</v>
      </c>
      <c r="I51" s="63" t="s">
        <v>3258</v>
      </c>
      <c r="J51" s="63" t="s">
        <v>3261</v>
      </c>
      <c r="K51" s="63" t="s">
        <v>2623</v>
      </c>
      <c r="L51" s="63" t="s">
        <v>251</v>
      </c>
      <c r="N51" s="63" t="s">
        <v>3264</v>
      </c>
      <c r="O51" s="63" t="s">
        <v>3267</v>
      </c>
      <c r="P51" s="63" t="s">
        <v>2624</v>
      </c>
      <c r="Q51" s="63" t="s">
        <v>252</v>
      </c>
      <c r="S51" s="63" t="s">
        <v>2625</v>
      </c>
      <c r="T51" s="63" t="s">
        <v>2626</v>
      </c>
      <c r="U51" s="63" t="s">
        <v>2627</v>
      </c>
      <c r="W51" s="63" t="s">
        <v>253</v>
      </c>
      <c r="X51" s="63" t="s">
        <v>254</v>
      </c>
    </row>
    <row r="52" spans="1:24" x14ac:dyDescent="0.2">
      <c r="A52" s="63" t="s">
        <v>26</v>
      </c>
      <c r="C52" s="63" t="s">
        <v>255</v>
      </c>
      <c r="F52" s="63" t="s">
        <v>774</v>
      </c>
      <c r="G52" s="63" t="s">
        <v>3253</v>
      </c>
      <c r="H52" s="63" t="s">
        <v>3256</v>
      </c>
      <c r="I52" s="63" t="s">
        <v>3259</v>
      </c>
      <c r="J52" s="63" t="s">
        <v>3262</v>
      </c>
      <c r="K52" s="63" t="s">
        <v>2628</v>
      </c>
      <c r="L52" s="63" t="s">
        <v>2629</v>
      </c>
      <c r="N52" s="63" t="s">
        <v>3265</v>
      </c>
      <c r="O52" s="63" t="s">
        <v>3268</v>
      </c>
      <c r="P52" s="63" t="s">
        <v>2630</v>
      </c>
      <c r="Q52" s="63" t="s">
        <v>2631</v>
      </c>
      <c r="S52" s="63" t="s">
        <v>2632</v>
      </c>
      <c r="T52" s="63" t="s">
        <v>2633</v>
      </c>
      <c r="U52" s="63" t="s">
        <v>2634</v>
      </c>
      <c r="W52" s="63" t="s">
        <v>2635</v>
      </c>
      <c r="X52" s="63" t="s">
        <v>256</v>
      </c>
    </row>
    <row r="53" spans="1:24" x14ac:dyDescent="0.2">
      <c r="A53" s="63" t="s">
        <v>26</v>
      </c>
      <c r="C53" s="63" t="s">
        <v>2636</v>
      </c>
      <c r="F53" s="63" t="s">
        <v>785</v>
      </c>
      <c r="G53" s="63" t="s">
        <v>3254</v>
      </c>
      <c r="H53" s="63" t="s">
        <v>3257</v>
      </c>
      <c r="I53" s="63" t="s">
        <v>3260</v>
      </c>
      <c r="J53" s="63" t="s">
        <v>3263</v>
      </c>
      <c r="K53" s="63" t="s">
        <v>2637</v>
      </c>
      <c r="L53" s="63" t="s">
        <v>2638</v>
      </c>
      <c r="N53" s="63" t="s">
        <v>3266</v>
      </c>
      <c r="O53" s="63" t="s">
        <v>3269</v>
      </c>
      <c r="P53" s="63" t="s">
        <v>2639</v>
      </c>
      <c r="Q53" s="63" t="s">
        <v>2640</v>
      </c>
      <c r="S53" s="63" t="s">
        <v>2641</v>
      </c>
      <c r="T53" s="63" t="s">
        <v>2642</v>
      </c>
      <c r="U53" s="63" t="s">
        <v>2643</v>
      </c>
      <c r="W53" s="63" t="s">
        <v>2644</v>
      </c>
      <c r="X53" s="63" t="s">
        <v>2645</v>
      </c>
    </row>
    <row r="54" spans="1:24" x14ac:dyDescent="0.2">
      <c r="A54" s="63" t="s">
        <v>26</v>
      </c>
      <c r="C54" s="63" t="s">
        <v>258</v>
      </c>
      <c r="F54" s="63" t="s">
        <v>796</v>
      </c>
      <c r="G54" s="63" t="s">
        <v>1899</v>
      </c>
      <c r="H54" s="63" t="s">
        <v>1907</v>
      </c>
      <c r="I54" s="63" t="s">
        <v>1915</v>
      </c>
      <c r="J54" s="63" t="s">
        <v>1923</v>
      </c>
      <c r="K54" s="63" t="s">
        <v>259</v>
      </c>
      <c r="L54" s="63" t="s">
        <v>260</v>
      </c>
      <c r="N54" s="63" t="s">
        <v>1931</v>
      </c>
      <c r="O54" s="63" t="s">
        <v>1939</v>
      </c>
      <c r="P54" s="63" t="s">
        <v>261</v>
      </c>
      <c r="Q54" s="63" t="s">
        <v>262</v>
      </c>
      <c r="S54" s="63" t="s">
        <v>263</v>
      </c>
      <c r="T54" s="63" t="s">
        <v>264</v>
      </c>
      <c r="U54" s="63" t="s">
        <v>265</v>
      </c>
      <c r="W54" s="63" t="s">
        <v>266</v>
      </c>
      <c r="X54" s="63" t="s">
        <v>267</v>
      </c>
    </row>
    <row r="55" spans="1:24" x14ac:dyDescent="0.2">
      <c r="A55" s="63" t="s">
        <v>26</v>
      </c>
      <c r="C55" s="63" t="s">
        <v>268</v>
      </c>
      <c r="F55" s="63" t="s">
        <v>807</v>
      </c>
      <c r="G55" s="63" t="s">
        <v>1900</v>
      </c>
      <c r="H55" s="63" t="s">
        <v>1908</v>
      </c>
      <c r="I55" s="63" t="s">
        <v>1916</v>
      </c>
      <c r="J55" s="63" t="s">
        <v>1924</v>
      </c>
      <c r="K55" s="63" t="s">
        <v>270</v>
      </c>
      <c r="L55" s="63" t="s">
        <v>271</v>
      </c>
      <c r="N55" s="63" t="s">
        <v>1932</v>
      </c>
      <c r="O55" s="63" t="s">
        <v>1940</v>
      </c>
      <c r="P55" s="63" t="s">
        <v>272</v>
      </c>
      <c r="Q55" s="63" t="s">
        <v>273</v>
      </c>
      <c r="S55" s="63" t="s">
        <v>274</v>
      </c>
      <c r="T55" s="63" t="s">
        <v>275</v>
      </c>
      <c r="U55" s="63" t="s">
        <v>276</v>
      </c>
      <c r="W55" s="63" t="s">
        <v>277</v>
      </c>
      <c r="X55" s="63" t="s">
        <v>278</v>
      </c>
    </row>
    <row r="56" spans="1:24" x14ac:dyDescent="0.2">
      <c r="A56" s="63" t="s">
        <v>26</v>
      </c>
      <c r="C56" s="63" t="s">
        <v>255</v>
      </c>
      <c r="X56" s="63" t="s">
        <v>280</v>
      </c>
    </row>
    <row r="57" spans="1:24" x14ac:dyDescent="0.2">
      <c r="A57" s="63" t="s">
        <v>26</v>
      </c>
      <c r="C57" s="63" t="s">
        <v>281</v>
      </c>
      <c r="H57" s="63" t="s">
        <v>2646</v>
      </c>
      <c r="I57" s="63" t="s">
        <v>2647</v>
      </c>
      <c r="J57" s="63" t="s">
        <v>2648</v>
      </c>
      <c r="K57" s="63" t="s">
        <v>2649</v>
      </c>
      <c r="L57" s="63" t="s">
        <v>283</v>
      </c>
      <c r="N57" s="63" t="s">
        <v>2650</v>
      </c>
      <c r="O57" s="63" t="s">
        <v>2651</v>
      </c>
      <c r="P57" s="63" t="s">
        <v>2652</v>
      </c>
      <c r="Q57" s="63" t="s">
        <v>284</v>
      </c>
      <c r="S57" s="63" t="s">
        <v>2653</v>
      </c>
      <c r="T57" s="63" t="s">
        <v>2654</v>
      </c>
      <c r="U57" s="63" t="s">
        <v>2655</v>
      </c>
      <c r="W57" s="63" t="s">
        <v>285</v>
      </c>
      <c r="X57" s="63" t="s">
        <v>286</v>
      </c>
    </row>
    <row r="58" spans="1:24" x14ac:dyDescent="0.2">
      <c r="A58" s="63" t="s">
        <v>26</v>
      </c>
      <c r="C58" s="63" t="s">
        <v>287</v>
      </c>
    </row>
    <row r="59" spans="1:24" x14ac:dyDescent="0.2">
      <c r="A59" s="63" t="s">
        <v>26</v>
      </c>
      <c r="C59" s="63" t="s">
        <v>2656</v>
      </c>
      <c r="E59" s="63" t="s">
        <v>723</v>
      </c>
    </row>
    <row r="60" spans="1:24" x14ac:dyDescent="0.2">
      <c r="A60" s="63" t="s">
        <v>26</v>
      </c>
      <c r="C60" s="63" t="s">
        <v>289</v>
      </c>
      <c r="F60" s="63" t="s">
        <v>2657</v>
      </c>
      <c r="G60" s="63" t="s">
        <v>1901</v>
      </c>
      <c r="H60" s="63" t="s">
        <v>1909</v>
      </c>
      <c r="I60" s="63" t="s">
        <v>1917</v>
      </c>
      <c r="J60" s="63" t="s">
        <v>1925</v>
      </c>
      <c r="K60" s="63" t="s">
        <v>942</v>
      </c>
      <c r="L60" s="63" t="s">
        <v>290</v>
      </c>
      <c r="N60" s="63" t="s">
        <v>1933</v>
      </c>
      <c r="O60" s="63" t="s">
        <v>1941</v>
      </c>
      <c r="P60" s="63" t="s">
        <v>943</v>
      </c>
      <c r="Q60" s="63" t="s">
        <v>291</v>
      </c>
      <c r="S60" s="63" t="s">
        <v>944</v>
      </c>
      <c r="T60" s="63" t="s">
        <v>945</v>
      </c>
      <c r="U60" s="63" t="s">
        <v>946</v>
      </c>
      <c r="W60" s="63" t="s">
        <v>292</v>
      </c>
      <c r="X60" s="63" t="s">
        <v>293</v>
      </c>
    </row>
    <row r="61" spans="1:24" x14ac:dyDescent="0.2">
      <c r="A61" s="63" t="s">
        <v>26</v>
      </c>
      <c r="C61" s="63" t="s">
        <v>294</v>
      </c>
      <c r="F61" s="63" t="s">
        <v>725</v>
      </c>
      <c r="G61" s="63" t="s">
        <v>1902</v>
      </c>
      <c r="H61" s="63" t="s">
        <v>1910</v>
      </c>
      <c r="I61" s="63" t="s">
        <v>1918</v>
      </c>
      <c r="J61" s="63" t="s">
        <v>1926</v>
      </c>
      <c r="K61" s="63" t="s">
        <v>948</v>
      </c>
      <c r="L61" s="63" t="s">
        <v>949</v>
      </c>
      <c r="N61" s="63" t="s">
        <v>1934</v>
      </c>
      <c r="O61" s="63" t="s">
        <v>1942</v>
      </c>
      <c r="P61" s="63" t="s">
        <v>950</v>
      </c>
      <c r="Q61" s="63" t="s">
        <v>951</v>
      </c>
      <c r="S61" s="63" t="s">
        <v>952</v>
      </c>
      <c r="T61" s="63" t="s">
        <v>953</v>
      </c>
      <c r="U61" s="63" t="s">
        <v>954</v>
      </c>
      <c r="W61" s="63" t="s">
        <v>955</v>
      </c>
      <c r="X61" s="63" t="s">
        <v>295</v>
      </c>
    </row>
    <row r="62" spans="1:24" x14ac:dyDescent="0.2">
      <c r="A62" s="63" t="s">
        <v>26</v>
      </c>
      <c r="C62" s="63" t="s">
        <v>956</v>
      </c>
      <c r="F62" s="63" t="s">
        <v>736</v>
      </c>
      <c r="G62" s="63" t="s">
        <v>1903</v>
      </c>
      <c r="H62" s="63" t="s">
        <v>1911</v>
      </c>
      <c r="I62" s="63" t="s">
        <v>1919</v>
      </c>
      <c r="J62" s="63" t="s">
        <v>1927</v>
      </c>
      <c r="K62" s="63" t="s">
        <v>958</v>
      </c>
      <c r="L62" s="63" t="s">
        <v>959</v>
      </c>
      <c r="N62" s="63" t="s">
        <v>1935</v>
      </c>
      <c r="O62" s="63" t="s">
        <v>1943</v>
      </c>
      <c r="P62" s="63" t="s">
        <v>960</v>
      </c>
      <c r="Q62" s="63" t="s">
        <v>961</v>
      </c>
      <c r="S62" s="63" t="s">
        <v>962</v>
      </c>
      <c r="T62" s="63" t="s">
        <v>963</v>
      </c>
      <c r="U62" s="63" t="s">
        <v>964</v>
      </c>
      <c r="W62" s="63" t="s">
        <v>965</v>
      </c>
      <c r="X62" s="63" t="s">
        <v>966</v>
      </c>
    </row>
    <row r="63" spans="1:24" x14ac:dyDescent="0.2">
      <c r="A63" s="63" t="s">
        <v>26</v>
      </c>
      <c r="C63" s="63" t="s">
        <v>297</v>
      </c>
      <c r="F63" s="63" t="s">
        <v>747</v>
      </c>
      <c r="G63" s="63" t="s">
        <v>1904</v>
      </c>
      <c r="H63" s="63" t="s">
        <v>1912</v>
      </c>
      <c r="I63" s="63" t="s">
        <v>1920</v>
      </c>
      <c r="J63" s="63" t="s">
        <v>1928</v>
      </c>
      <c r="K63" s="63" t="s">
        <v>298</v>
      </c>
      <c r="L63" s="63" t="s">
        <v>299</v>
      </c>
      <c r="N63" s="63" t="s">
        <v>1936</v>
      </c>
      <c r="O63" s="63" t="s">
        <v>1944</v>
      </c>
      <c r="P63" s="63" t="s">
        <v>300</v>
      </c>
      <c r="Q63" s="63" t="s">
        <v>301</v>
      </c>
      <c r="S63" s="63" t="s">
        <v>302</v>
      </c>
      <c r="T63" s="63" t="s">
        <v>303</v>
      </c>
      <c r="U63" s="63" t="s">
        <v>304</v>
      </c>
      <c r="W63" s="63" t="s">
        <v>305</v>
      </c>
      <c r="X63" s="63" t="s">
        <v>306</v>
      </c>
    </row>
    <row r="64" spans="1:24" x14ac:dyDescent="0.2">
      <c r="A64" s="63" t="s">
        <v>26</v>
      </c>
      <c r="C64" s="63" t="s">
        <v>307</v>
      </c>
      <c r="F64" s="63" t="s">
        <v>758</v>
      </c>
      <c r="G64" s="63" t="s">
        <v>1905</v>
      </c>
      <c r="H64" s="63" t="s">
        <v>1913</v>
      </c>
      <c r="I64" s="63" t="s">
        <v>1921</v>
      </c>
      <c r="J64" s="63" t="s">
        <v>1929</v>
      </c>
      <c r="K64" s="63" t="s">
        <v>309</v>
      </c>
      <c r="L64" s="63" t="s">
        <v>310</v>
      </c>
      <c r="N64" s="63" t="s">
        <v>1937</v>
      </c>
      <c r="O64" s="63" t="s">
        <v>1945</v>
      </c>
      <c r="P64" s="63" t="s">
        <v>311</v>
      </c>
      <c r="Q64" s="63" t="s">
        <v>312</v>
      </c>
      <c r="S64" s="63" t="s">
        <v>313</v>
      </c>
      <c r="T64" s="63" t="s">
        <v>314</v>
      </c>
      <c r="U64" s="63" t="s">
        <v>315</v>
      </c>
      <c r="W64" s="63" t="s">
        <v>316</v>
      </c>
      <c r="X64" s="63" t="s">
        <v>317</v>
      </c>
    </row>
    <row r="65" spans="1:24" x14ac:dyDescent="0.2">
      <c r="A65" s="63" t="s">
        <v>26</v>
      </c>
      <c r="C65" s="63" t="s">
        <v>294</v>
      </c>
      <c r="X65" s="63" t="s">
        <v>319</v>
      </c>
    </row>
    <row r="66" spans="1:24" x14ac:dyDescent="0.2">
      <c r="A66" s="63" t="s">
        <v>26</v>
      </c>
      <c r="C66" s="63" t="s">
        <v>320</v>
      </c>
      <c r="H66" s="63" t="s">
        <v>2658</v>
      </c>
      <c r="I66" s="63" t="s">
        <v>2659</v>
      </c>
      <c r="J66" s="63" t="s">
        <v>2660</v>
      </c>
      <c r="K66" s="63" t="s">
        <v>2661</v>
      </c>
      <c r="L66" s="63" t="s">
        <v>322</v>
      </c>
      <c r="N66" s="63" t="s">
        <v>2662</v>
      </c>
      <c r="O66" s="63" t="s">
        <v>2663</v>
      </c>
      <c r="P66" s="63" t="s">
        <v>2664</v>
      </c>
      <c r="Q66" s="63" t="s">
        <v>323</v>
      </c>
      <c r="S66" s="63" t="s">
        <v>2665</v>
      </c>
      <c r="T66" s="63" t="s">
        <v>2666</v>
      </c>
      <c r="U66" s="63" t="s">
        <v>2667</v>
      </c>
      <c r="W66" s="63" t="s">
        <v>324</v>
      </c>
      <c r="X66" s="63" t="s">
        <v>325</v>
      </c>
    </row>
    <row r="67" spans="1:24" x14ac:dyDescent="0.2">
      <c r="A67" s="63" t="s">
        <v>26</v>
      </c>
      <c r="C67" s="63" t="s">
        <v>326</v>
      </c>
    </row>
    <row r="68" spans="1:24" x14ac:dyDescent="0.2">
      <c r="A68" s="63" t="s">
        <v>26</v>
      </c>
      <c r="C68" s="63" t="s">
        <v>2668</v>
      </c>
      <c r="E68" s="63" t="s">
        <v>717</v>
      </c>
    </row>
    <row r="69" spans="1:24" x14ac:dyDescent="0.2">
      <c r="A69" s="63" t="s">
        <v>26</v>
      </c>
      <c r="C69" s="63" t="s">
        <v>328</v>
      </c>
      <c r="F69" s="63" t="s">
        <v>2669</v>
      </c>
      <c r="G69" s="63" t="s">
        <v>1906</v>
      </c>
      <c r="H69" s="63" t="s">
        <v>1914</v>
      </c>
      <c r="I69" s="63" t="s">
        <v>1922</v>
      </c>
      <c r="J69" s="63" t="s">
        <v>1930</v>
      </c>
      <c r="K69" s="63" t="s">
        <v>974</v>
      </c>
      <c r="L69" s="63" t="s">
        <v>329</v>
      </c>
      <c r="N69" s="63" t="s">
        <v>1938</v>
      </c>
      <c r="O69" s="63" t="s">
        <v>1946</v>
      </c>
      <c r="P69" s="63" t="s">
        <v>975</v>
      </c>
      <c r="Q69" s="63" t="s">
        <v>330</v>
      </c>
      <c r="S69" s="63" t="s">
        <v>976</v>
      </c>
      <c r="T69" s="63" t="s">
        <v>977</v>
      </c>
      <c r="U69" s="63" t="s">
        <v>978</v>
      </c>
      <c r="W69" s="63" t="s">
        <v>331</v>
      </c>
      <c r="X69" s="63" t="s">
        <v>332</v>
      </c>
    </row>
    <row r="70" spans="1:24" x14ac:dyDescent="0.2">
      <c r="A70" s="63" t="s">
        <v>26</v>
      </c>
      <c r="C70" s="63" t="s">
        <v>333</v>
      </c>
      <c r="X70" s="63" t="s">
        <v>334</v>
      </c>
    </row>
    <row r="71" spans="1:24" x14ac:dyDescent="0.2">
      <c r="A71" s="63" t="s">
        <v>26</v>
      </c>
      <c r="C71" s="63" t="s">
        <v>980</v>
      </c>
      <c r="H71" s="63" t="s">
        <v>2670</v>
      </c>
      <c r="I71" s="63" t="s">
        <v>2671</v>
      </c>
      <c r="J71" s="63" t="s">
        <v>2672</v>
      </c>
      <c r="K71" s="63" t="s">
        <v>2673</v>
      </c>
      <c r="L71" s="63" t="s">
        <v>982</v>
      </c>
      <c r="N71" s="63" t="s">
        <v>2674</v>
      </c>
      <c r="O71" s="63" t="s">
        <v>2675</v>
      </c>
      <c r="P71" s="63" t="s">
        <v>2676</v>
      </c>
      <c r="Q71" s="63" t="s">
        <v>983</v>
      </c>
      <c r="S71" s="63" t="s">
        <v>2677</v>
      </c>
      <c r="T71" s="63" t="s">
        <v>2678</v>
      </c>
      <c r="U71" s="63" t="s">
        <v>2679</v>
      </c>
      <c r="W71" s="63" t="s">
        <v>984</v>
      </c>
      <c r="X71" s="63" t="s">
        <v>985</v>
      </c>
    </row>
    <row r="72" spans="1:24" x14ac:dyDescent="0.2">
      <c r="A72" s="63" t="s">
        <v>26</v>
      </c>
      <c r="C72" s="63" t="s">
        <v>336</v>
      </c>
    </row>
    <row r="73" spans="1:24" x14ac:dyDescent="0.2">
      <c r="A73" s="63" t="s">
        <v>26</v>
      </c>
      <c r="C73" s="63" t="s">
        <v>2680</v>
      </c>
      <c r="E73" s="63" t="s">
        <v>697</v>
      </c>
    </row>
    <row r="74" spans="1:24" x14ac:dyDescent="0.2">
      <c r="A74" s="63" t="s">
        <v>26</v>
      </c>
      <c r="C74" s="63" t="s">
        <v>2137</v>
      </c>
      <c r="F74" s="63" t="s">
        <v>2681</v>
      </c>
      <c r="G74" s="63" t="s">
        <v>2555</v>
      </c>
      <c r="H74" s="63" t="s">
        <v>2558</v>
      </c>
      <c r="I74" s="63" t="s">
        <v>2561</v>
      </c>
      <c r="J74" s="63" t="s">
        <v>2564</v>
      </c>
      <c r="K74" s="63" t="s">
        <v>2138</v>
      </c>
      <c r="L74" s="63" t="s">
        <v>2139</v>
      </c>
      <c r="N74" s="63" t="s">
        <v>2567</v>
      </c>
      <c r="O74" s="63" t="s">
        <v>2570</v>
      </c>
      <c r="P74" s="63" t="s">
        <v>2140</v>
      </c>
      <c r="Q74" s="63" t="s">
        <v>2141</v>
      </c>
      <c r="S74" s="63" t="s">
        <v>2142</v>
      </c>
      <c r="T74" s="63" t="s">
        <v>2143</v>
      </c>
      <c r="U74" s="63" t="s">
        <v>2144</v>
      </c>
      <c r="W74" s="63" t="s">
        <v>2145</v>
      </c>
      <c r="X74" s="63" t="s">
        <v>339</v>
      </c>
    </row>
    <row r="75" spans="1:24" x14ac:dyDescent="0.2">
      <c r="A75" s="63" t="s">
        <v>26</v>
      </c>
      <c r="C75" s="63" t="s">
        <v>340</v>
      </c>
      <c r="F75" s="63" t="s">
        <v>700</v>
      </c>
      <c r="G75" s="63" t="s">
        <v>2556</v>
      </c>
      <c r="H75" s="63" t="s">
        <v>2559</v>
      </c>
      <c r="I75" s="63" t="s">
        <v>2562</v>
      </c>
      <c r="J75" s="63" t="s">
        <v>2565</v>
      </c>
      <c r="K75" s="63" t="s">
        <v>2146</v>
      </c>
      <c r="L75" s="63" t="s">
        <v>342</v>
      </c>
      <c r="N75" s="63" t="s">
        <v>2568</v>
      </c>
      <c r="O75" s="63" t="s">
        <v>2571</v>
      </c>
      <c r="P75" s="63" t="s">
        <v>2147</v>
      </c>
      <c r="Q75" s="63" t="s">
        <v>343</v>
      </c>
      <c r="S75" s="63" t="s">
        <v>2148</v>
      </c>
      <c r="T75" s="63" t="s">
        <v>2149</v>
      </c>
      <c r="U75" s="63" t="s">
        <v>2150</v>
      </c>
      <c r="W75" s="63" t="s">
        <v>344</v>
      </c>
      <c r="X75" s="63" t="s">
        <v>345</v>
      </c>
    </row>
    <row r="76" spans="1:24" x14ac:dyDescent="0.2">
      <c r="A76" s="63" t="s">
        <v>26</v>
      </c>
      <c r="C76" s="63" t="s">
        <v>346</v>
      </c>
      <c r="F76" s="63" t="s">
        <v>701</v>
      </c>
      <c r="G76" s="63" t="s">
        <v>2557</v>
      </c>
      <c r="H76" s="63" t="s">
        <v>2560</v>
      </c>
      <c r="I76" s="63" t="s">
        <v>2563</v>
      </c>
      <c r="J76" s="63" t="s">
        <v>2566</v>
      </c>
      <c r="K76" s="63" t="s">
        <v>2151</v>
      </c>
      <c r="L76" s="63" t="s">
        <v>2152</v>
      </c>
      <c r="N76" s="63" t="s">
        <v>2569</v>
      </c>
      <c r="O76" s="63" t="s">
        <v>2572</v>
      </c>
      <c r="P76" s="63" t="s">
        <v>2153</v>
      </c>
      <c r="Q76" s="63" t="s">
        <v>2154</v>
      </c>
      <c r="S76" s="63" t="s">
        <v>2155</v>
      </c>
      <c r="T76" s="63" t="s">
        <v>2156</v>
      </c>
      <c r="U76" s="63" t="s">
        <v>2157</v>
      </c>
      <c r="W76" s="63" t="s">
        <v>2158</v>
      </c>
      <c r="X76" s="63" t="s">
        <v>348</v>
      </c>
    </row>
    <row r="77" spans="1:24" x14ac:dyDescent="0.2">
      <c r="A77" s="63" t="s">
        <v>26</v>
      </c>
      <c r="C77" s="63" t="s">
        <v>2682</v>
      </c>
      <c r="F77" s="63" t="s">
        <v>704</v>
      </c>
      <c r="G77" s="63" t="s">
        <v>3246</v>
      </c>
      <c r="H77" s="63" t="s">
        <v>3247</v>
      </c>
      <c r="I77" s="63" t="s">
        <v>3248</v>
      </c>
      <c r="J77" s="63" t="s">
        <v>3249</v>
      </c>
      <c r="K77" s="63" t="s">
        <v>2683</v>
      </c>
      <c r="L77" s="63" t="s">
        <v>2684</v>
      </c>
      <c r="N77" s="63" t="s">
        <v>3250</v>
      </c>
      <c r="O77" s="63" t="s">
        <v>3251</v>
      </c>
      <c r="P77" s="63" t="s">
        <v>2685</v>
      </c>
      <c r="Q77" s="63" t="s">
        <v>2686</v>
      </c>
      <c r="S77" s="63" t="s">
        <v>2687</v>
      </c>
      <c r="T77" s="63" t="s">
        <v>2688</v>
      </c>
      <c r="U77" s="63" t="s">
        <v>2689</v>
      </c>
      <c r="W77" s="63" t="s">
        <v>2690</v>
      </c>
      <c r="X77" s="63" t="s">
        <v>2159</v>
      </c>
    </row>
    <row r="78" spans="1:24" x14ac:dyDescent="0.2">
      <c r="A78" s="63" t="s">
        <v>26</v>
      </c>
      <c r="C78" s="63" t="s">
        <v>349</v>
      </c>
      <c r="F78" s="63" t="s">
        <v>710</v>
      </c>
      <c r="G78" s="63" t="s">
        <v>1893</v>
      </c>
      <c r="H78" s="63" t="s">
        <v>1894</v>
      </c>
      <c r="I78" s="63" t="s">
        <v>1895</v>
      </c>
      <c r="J78" s="63" t="s">
        <v>1896</v>
      </c>
      <c r="K78" s="63" t="s">
        <v>988</v>
      </c>
      <c r="L78" s="63" t="s">
        <v>350</v>
      </c>
      <c r="N78" s="63" t="s">
        <v>1897</v>
      </c>
      <c r="O78" s="63" t="s">
        <v>1898</v>
      </c>
      <c r="P78" s="63" t="s">
        <v>989</v>
      </c>
      <c r="Q78" s="63" t="s">
        <v>351</v>
      </c>
      <c r="S78" s="63" t="s">
        <v>990</v>
      </c>
      <c r="T78" s="63" t="s">
        <v>991</v>
      </c>
      <c r="U78" s="63" t="s">
        <v>992</v>
      </c>
      <c r="W78" s="63" t="s">
        <v>352</v>
      </c>
      <c r="X78" s="63" t="s">
        <v>353</v>
      </c>
    </row>
    <row r="79" spans="1:24" x14ac:dyDescent="0.2">
      <c r="A79" s="63" t="s">
        <v>26</v>
      </c>
      <c r="C79" s="63" t="s">
        <v>340</v>
      </c>
      <c r="X79" s="63" t="s">
        <v>354</v>
      </c>
    </row>
    <row r="80" spans="1:24" x14ac:dyDescent="0.2">
      <c r="A80" s="63" t="s">
        <v>26</v>
      </c>
      <c r="C80" s="63" t="s">
        <v>993</v>
      </c>
      <c r="H80" s="63" t="s">
        <v>2691</v>
      </c>
      <c r="I80" s="63" t="s">
        <v>2692</v>
      </c>
      <c r="J80" s="63" t="s">
        <v>2693</v>
      </c>
      <c r="K80" s="63" t="s">
        <v>2694</v>
      </c>
      <c r="L80" s="63" t="s">
        <v>994</v>
      </c>
      <c r="N80" s="63" t="s">
        <v>2695</v>
      </c>
      <c r="O80" s="63" t="s">
        <v>2696</v>
      </c>
      <c r="P80" s="63" t="s">
        <v>2697</v>
      </c>
      <c r="Q80" s="63" t="s">
        <v>995</v>
      </c>
      <c r="S80" s="63" t="s">
        <v>2698</v>
      </c>
      <c r="T80" s="63" t="s">
        <v>2699</v>
      </c>
      <c r="U80" s="63" t="s">
        <v>2700</v>
      </c>
      <c r="W80" s="63" t="s">
        <v>996</v>
      </c>
      <c r="X80" s="63" t="s">
        <v>997</v>
      </c>
    </row>
    <row r="81" spans="1:24" x14ac:dyDescent="0.2">
      <c r="A81" s="63" t="s">
        <v>26</v>
      </c>
      <c r="C81" s="63" t="s">
        <v>356</v>
      </c>
    </row>
    <row r="82" spans="1:24" x14ac:dyDescent="0.2">
      <c r="A82" s="63" t="s">
        <v>26</v>
      </c>
      <c r="C82" s="63" t="s">
        <v>2701</v>
      </c>
      <c r="E82" s="63" t="s">
        <v>626</v>
      </c>
    </row>
    <row r="83" spans="1:24" x14ac:dyDescent="0.2">
      <c r="A83" s="63" t="s">
        <v>26</v>
      </c>
      <c r="C83" s="63" t="s">
        <v>2160</v>
      </c>
      <c r="F83" s="63" t="s">
        <v>2702</v>
      </c>
      <c r="G83" s="63" t="s">
        <v>2543</v>
      </c>
      <c r="H83" s="63" t="s">
        <v>2545</v>
      </c>
      <c r="I83" s="63" t="s">
        <v>2547</v>
      </c>
      <c r="J83" s="63" t="s">
        <v>2549</v>
      </c>
      <c r="K83" s="63" t="s">
        <v>2161</v>
      </c>
      <c r="L83" s="63" t="s">
        <v>2162</v>
      </c>
      <c r="N83" s="63" t="s">
        <v>2551</v>
      </c>
      <c r="O83" s="63" t="s">
        <v>2553</v>
      </c>
      <c r="P83" s="63" t="s">
        <v>2163</v>
      </c>
      <c r="Q83" s="63" t="s">
        <v>2164</v>
      </c>
      <c r="S83" s="63" t="s">
        <v>2165</v>
      </c>
      <c r="T83" s="63" t="s">
        <v>2166</v>
      </c>
      <c r="U83" s="63" t="s">
        <v>2167</v>
      </c>
      <c r="W83" s="63" t="s">
        <v>2168</v>
      </c>
      <c r="X83" s="63" t="s">
        <v>359</v>
      </c>
    </row>
    <row r="84" spans="1:24" x14ac:dyDescent="0.2">
      <c r="A84" s="63" t="s">
        <v>26</v>
      </c>
      <c r="C84" s="63" t="s">
        <v>360</v>
      </c>
      <c r="F84" s="63" t="s">
        <v>633</v>
      </c>
      <c r="G84" s="63" t="s">
        <v>2544</v>
      </c>
      <c r="H84" s="63" t="s">
        <v>2546</v>
      </c>
      <c r="I84" s="63" t="s">
        <v>2548</v>
      </c>
      <c r="J84" s="63" t="s">
        <v>2550</v>
      </c>
      <c r="K84" s="63" t="s">
        <v>2169</v>
      </c>
      <c r="L84" s="63" t="s">
        <v>362</v>
      </c>
      <c r="N84" s="63" t="s">
        <v>2552</v>
      </c>
      <c r="O84" s="63" t="s">
        <v>2554</v>
      </c>
      <c r="P84" s="63" t="s">
        <v>2170</v>
      </c>
      <c r="Q84" s="63" t="s">
        <v>363</v>
      </c>
      <c r="S84" s="63" t="s">
        <v>2171</v>
      </c>
      <c r="T84" s="63" t="s">
        <v>2172</v>
      </c>
      <c r="U84" s="63" t="s">
        <v>2173</v>
      </c>
      <c r="W84" s="63" t="s">
        <v>364</v>
      </c>
      <c r="X84" s="63" t="s">
        <v>365</v>
      </c>
    </row>
    <row r="85" spans="1:24" x14ac:dyDescent="0.2">
      <c r="A85" s="63" t="s">
        <v>26</v>
      </c>
      <c r="C85" s="63" t="s">
        <v>998</v>
      </c>
      <c r="F85" s="63" t="s">
        <v>634</v>
      </c>
      <c r="G85" s="63" t="s">
        <v>3216</v>
      </c>
      <c r="H85" s="63" t="s">
        <v>3221</v>
      </c>
      <c r="I85" s="63" t="s">
        <v>3226</v>
      </c>
      <c r="J85" s="63" t="s">
        <v>3231</v>
      </c>
      <c r="K85" s="63" t="s">
        <v>2703</v>
      </c>
      <c r="L85" s="63" t="s">
        <v>2704</v>
      </c>
      <c r="N85" s="63" t="s">
        <v>3236</v>
      </c>
      <c r="O85" s="63" t="s">
        <v>3241</v>
      </c>
      <c r="P85" s="63" t="s">
        <v>2705</v>
      </c>
      <c r="Q85" s="63" t="s">
        <v>2706</v>
      </c>
      <c r="S85" s="63" t="s">
        <v>2707</v>
      </c>
      <c r="T85" s="63" t="s">
        <v>2708</v>
      </c>
      <c r="U85" s="63" t="s">
        <v>2709</v>
      </c>
      <c r="W85" s="63" t="s">
        <v>2710</v>
      </c>
      <c r="X85" s="63" t="s">
        <v>366</v>
      </c>
    </row>
    <row r="86" spans="1:24" x14ac:dyDescent="0.2">
      <c r="A86" s="63" t="s">
        <v>26</v>
      </c>
      <c r="C86" s="63" t="s">
        <v>2174</v>
      </c>
      <c r="F86" s="63" t="s">
        <v>635</v>
      </c>
      <c r="G86" s="63" t="s">
        <v>3217</v>
      </c>
      <c r="H86" s="63" t="s">
        <v>3222</v>
      </c>
      <c r="I86" s="63" t="s">
        <v>3227</v>
      </c>
      <c r="J86" s="63" t="s">
        <v>3232</v>
      </c>
      <c r="K86" s="63" t="s">
        <v>2711</v>
      </c>
      <c r="L86" s="63" t="s">
        <v>2175</v>
      </c>
      <c r="N86" s="63" t="s">
        <v>3237</v>
      </c>
      <c r="O86" s="63" t="s">
        <v>3242</v>
      </c>
      <c r="P86" s="63" t="s">
        <v>2712</v>
      </c>
      <c r="Q86" s="63" t="s">
        <v>2176</v>
      </c>
      <c r="S86" s="63" t="s">
        <v>2713</v>
      </c>
      <c r="T86" s="63" t="s">
        <v>2714</v>
      </c>
      <c r="U86" s="63" t="s">
        <v>2715</v>
      </c>
      <c r="W86" s="63" t="s">
        <v>2177</v>
      </c>
      <c r="X86" s="63" t="s">
        <v>2178</v>
      </c>
    </row>
    <row r="87" spans="1:24" x14ac:dyDescent="0.2">
      <c r="A87" s="63" t="s">
        <v>26</v>
      </c>
      <c r="C87" s="63" t="s">
        <v>367</v>
      </c>
      <c r="F87" s="63" t="s">
        <v>638</v>
      </c>
      <c r="G87" s="63" t="s">
        <v>1863</v>
      </c>
      <c r="H87" s="63" t="s">
        <v>1868</v>
      </c>
      <c r="I87" s="63" t="s">
        <v>1873</v>
      </c>
      <c r="J87" s="63" t="s">
        <v>1878</v>
      </c>
      <c r="K87" s="63" t="s">
        <v>999</v>
      </c>
      <c r="L87" s="63" t="s">
        <v>1000</v>
      </c>
      <c r="N87" s="63" t="s">
        <v>1883</v>
      </c>
      <c r="O87" s="63" t="s">
        <v>1888</v>
      </c>
      <c r="P87" s="63" t="s">
        <v>1001</v>
      </c>
      <c r="Q87" s="63" t="s">
        <v>1002</v>
      </c>
      <c r="S87" s="63" t="s">
        <v>1003</v>
      </c>
      <c r="T87" s="63" t="s">
        <v>1004</v>
      </c>
      <c r="U87" s="63" t="s">
        <v>1005</v>
      </c>
      <c r="W87" s="63" t="s">
        <v>1006</v>
      </c>
      <c r="X87" s="63" t="s">
        <v>368</v>
      </c>
    </row>
    <row r="88" spans="1:24" x14ac:dyDescent="0.2">
      <c r="A88" s="63" t="s">
        <v>26</v>
      </c>
      <c r="C88" s="63" t="s">
        <v>1007</v>
      </c>
      <c r="F88" s="63" t="s">
        <v>644</v>
      </c>
      <c r="G88" s="63" t="s">
        <v>1864</v>
      </c>
      <c r="H88" s="63" t="s">
        <v>1869</v>
      </c>
      <c r="I88" s="63" t="s">
        <v>1874</v>
      </c>
      <c r="J88" s="63" t="s">
        <v>1879</v>
      </c>
      <c r="K88" s="63" t="s">
        <v>1008</v>
      </c>
      <c r="L88" s="63" t="s">
        <v>1009</v>
      </c>
      <c r="N88" s="63" t="s">
        <v>1884</v>
      </c>
      <c r="O88" s="63" t="s">
        <v>1889</v>
      </c>
      <c r="P88" s="63" t="s">
        <v>1010</v>
      </c>
      <c r="Q88" s="63" t="s">
        <v>1011</v>
      </c>
      <c r="S88" s="63" t="s">
        <v>1012</v>
      </c>
      <c r="T88" s="63" t="s">
        <v>1013</v>
      </c>
      <c r="U88" s="63" t="s">
        <v>1014</v>
      </c>
      <c r="W88" s="63" t="s">
        <v>1015</v>
      </c>
      <c r="X88" s="63" t="s">
        <v>1016</v>
      </c>
    </row>
    <row r="89" spans="1:24" x14ac:dyDescent="0.2">
      <c r="A89" s="63" t="s">
        <v>26</v>
      </c>
      <c r="C89" s="63" t="s">
        <v>370</v>
      </c>
      <c r="F89" s="63" t="s">
        <v>646</v>
      </c>
      <c r="G89" s="63" t="s">
        <v>1865</v>
      </c>
      <c r="H89" s="63" t="s">
        <v>1870</v>
      </c>
      <c r="I89" s="63" t="s">
        <v>1875</v>
      </c>
      <c r="J89" s="63" t="s">
        <v>1880</v>
      </c>
      <c r="K89" s="63" t="s">
        <v>371</v>
      </c>
      <c r="L89" s="63" t="s">
        <v>372</v>
      </c>
      <c r="N89" s="63" t="s">
        <v>1885</v>
      </c>
      <c r="O89" s="63" t="s">
        <v>1890</v>
      </c>
      <c r="P89" s="63" t="s">
        <v>373</v>
      </c>
      <c r="Q89" s="63" t="s">
        <v>374</v>
      </c>
      <c r="S89" s="63" t="s">
        <v>375</v>
      </c>
      <c r="T89" s="63" t="s">
        <v>376</v>
      </c>
      <c r="U89" s="63" t="s">
        <v>377</v>
      </c>
      <c r="W89" s="63" t="s">
        <v>378</v>
      </c>
      <c r="X89" s="63" t="s">
        <v>379</v>
      </c>
    </row>
    <row r="90" spans="1:24" x14ac:dyDescent="0.2">
      <c r="A90" s="63" t="s">
        <v>26</v>
      </c>
      <c r="C90" s="63" t="s">
        <v>380</v>
      </c>
      <c r="F90" s="63" t="s">
        <v>648</v>
      </c>
      <c r="G90" s="63" t="s">
        <v>1866</v>
      </c>
      <c r="H90" s="63" t="s">
        <v>1871</v>
      </c>
      <c r="I90" s="63" t="s">
        <v>1876</v>
      </c>
      <c r="J90" s="63" t="s">
        <v>1881</v>
      </c>
      <c r="K90" s="63" t="s">
        <v>382</v>
      </c>
      <c r="L90" s="63" t="s">
        <v>383</v>
      </c>
      <c r="N90" s="63" t="s">
        <v>1886</v>
      </c>
      <c r="O90" s="63" t="s">
        <v>1891</v>
      </c>
      <c r="P90" s="63" t="s">
        <v>384</v>
      </c>
      <c r="Q90" s="63" t="s">
        <v>385</v>
      </c>
      <c r="S90" s="63" t="s">
        <v>386</v>
      </c>
      <c r="T90" s="63" t="s">
        <v>387</v>
      </c>
      <c r="U90" s="63" t="s">
        <v>388</v>
      </c>
      <c r="W90" s="63" t="s">
        <v>389</v>
      </c>
      <c r="X90" s="63" t="s">
        <v>390</v>
      </c>
    </row>
    <row r="91" spans="1:24" x14ac:dyDescent="0.2">
      <c r="A91" s="63" t="s">
        <v>26</v>
      </c>
      <c r="C91" s="63" t="s">
        <v>391</v>
      </c>
      <c r="F91" s="63" t="s">
        <v>658</v>
      </c>
      <c r="G91" s="63" t="s">
        <v>1867</v>
      </c>
      <c r="H91" s="63" t="s">
        <v>1872</v>
      </c>
      <c r="I91" s="63" t="s">
        <v>1877</v>
      </c>
      <c r="J91" s="63" t="s">
        <v>1882</v>
      </c>
      <c r="K91" s="63" t="s">
        <v>393</v>
      </c>
      <c r="L91" s="63" t="s">
        <v>394</v>
      </c>
      <c r="N91" s="63" t="s">
        <v>1887</v>
      </c>
      <c r="O91" s="63" t="s">
        <v>1892</v>
      </c>
      <c r="P91" s="63" t="s">
        <v>395</v>
      </c>
      <c r="Q91" s="63" t="s">
        <v>396</v>
      </c>
      <c r="S91" s="63" t="s">
        <v>397</v>
      </c>
      <c r="T91" s="63" t="s">
        <v>398</v>
      </c>
      <c r="U91" s="63" t="s">
        <v>399</v>
      </c>
      <c r="W91" s="63" t="s">
        <v>400</v>
      </c>
      <c r="X91" s="63" t="s">
        <v>401</v>
      </c>
    </row>
    <row r="92" spans="1:24" x14ac:dyDescent="0.2">
      <c r="A92" s="63" t="s">
        <v>26</v>
      </c>
      <c r="C92" s="63" t="s">
        <v>2179</v>
      </c>
      <c r="F92" s="63" t="s">
        <v>661</v>
      </c>
      <c r="G92" s="63" t="s">
        <v>2531</v>
      </c>
      <c r="H92" s="63" t="s">
        <v>2533</v>
      </c>
      <c r="I92" s="63" t="s">
        <v>2535</v>
      </c>
      <c r="J92" s="63" t="s">
        <v>2537</v>
      </c>
      <c r="K92" s="63" t="s">
        <v>2180</v>
      </c>
      <c r="L92" s="63" t="s">
        <v>2181</v>
      </c>
      <c r="N92" s="63" t="s">
        <v>2539</v>
      </c>
      <c r="O92" s="63" t="s">
        <v>2541</v>
      </c>
      <c r="P92" s="63" t="s">
        <v>2182</v>
      </c>
      <c r="Q92" s="63" t="s">
        <v>2183</v>
      </c>
      <c r="S92" s="63" t="s">
        <v>2184</v>
      </c>
      <c r="T92" s="63" t="s">
        <v>2185</v>
      </c>
      <c r="U92" s="63" t="s">
        <v>2186</v>
      </c>
      <c r="W92" s="63" t="s">
        <v>2187</v>
      </c>
      <c r="X92" s="63" t="s">
        <v>403</v>
      </c>
    </row>
    <row r="93" spans="1:24" x14ac:dyDescent="0.2">
      <c r="A93" s="63" t="s">
        <v>26</v>
      </c>
      <c r="C93" s="63" t="s">
        <v>404</v>
      </c>
      <c r="F93" s="63" t="s">
        <v>667</v>
      </c>
      <c r="G93" s="63" t="s">
        <v>2532</v>
      </c>
      <c r="H93" s="63" t="s">
        <v>2534</v>
      </c>
      <c r="I93" s="63" t="s">
        <v>2536</v>
      </c>
      <c r="J93" s="63" t="s">
        <v>2538</v>
      </c>
      <c r="K93" s="63" t="s">
        <v>2188</v>
      </c>
      <c r="L93" s="63" t="s">
        <v>406</v>
      </c>
      <c r="N93" s="63" t="s">
        <v>2540</v>
      </c>
      <c r="O93" s="63" t="s">
        <v>2542</v>
      </c>
      <c r="P93" s="63" t="s">
        <v>2189</v>
      </c>
      <c r="Q93" s="63" t="s">
        <v>407</v>
      </c>
      <c r="S93" s="63" t="s">
        <v>2190</v>
      </c>
      <c r="T93" s="63" t="s">
        <v>2191</v>
      </c>
      <c r="U93" s="63" t="s">
        <v>2192</v>
      </c>
      <c r="W93" s="63" t="s">
        <v>408</v>
      </c>
      <c r="X93" s="63" t="s">
        <v>409</v>
      </c>
    </row>
    <row r="94" spans="1:24" x14ac:dyDescent="0.2">
      <c r="A94" s="63" t="s">
        <v>26</v>
      </c>
      <c r="C94" s="63" t="s">
        <v>1017</v>
      </c>
      <c r="F94" s="63" t="s">
        <v>668</v>
      </c>
      <c r="G94" s="63" t="s">
        <v>3218</v>
      </c>
      <c r="H94" s="63" t="s">
        <v>3223</v>
      </c>
      <c r="I94" s="63" t="s">
        <v>3228</v>
      </c>
      <c r="J94" s="63" t="s">
        <v>3233</v>
      </c>
      <c r="K94" s="63" t="s">
        <v>2716</v>
      </c>
      <c r="L94" s="63" t="s">
        <v>2717</v>
      </c>
      <c r="N94" s="63" t="s">
        <v>3238</v>
      </c>
      <c r="O94" s="63" t="s">
        <v>3243</v>
      </c>
      <c r="P94" s="63" t="s">
        <v>2718</v>
      </c>
      <c r="Q94" s="63" t="s">
        <v>2719</v>
      </c>
      <c r="S94" s="63" t="s">
        <v>2720</v>
      </c>
      <c r="T94" s="63" t="s">
        <v>2721</v>
      </c>
      <c r="U94" s="63" t="s">
        <v>2722</v>
      </c>
      <c r="W94" s="63" t="s">
        <v>2723</v>
      </c>
      <c r="X94" s="63" t="s">
        <v>410</v>
      </c>
    </row>
    <row r="95" spans="1:24" x14ac:dyDescent="0.2">
      <c r="A95" s="63" t="s">
        <v>26</v>
      </c>
      <c r="C95" s="63" t="s">
        <v>2193</v>
      </c>
      <c r="F95" s="63" t="s">
        <v>669</v>
      </c>
      <c r="G95" s="63" t="s">
        <v>3219</v>
      </c>
      <c r="H95" s="63" t="s">
        <v>3224</v>
      </c>
      <c r="I95" s="63" t="s">
        <v>3229</v>
      </c>
      <c r="J95" s="63" t="s">
        <v>3234</v>
      </c>
      <c r="K95" s="63" t="s">
        <v>2724</v>
      </c>
      <c r="L95" s="63" t="s">
        <v>2194</v>
      </c>
      <c r="N95" s="63" t="s">
        <v>3239</v>
      </c>
      <c r="O95" s="63" t="s">
        <v>3244</v>
      </c>
      <c r="P95" s="63" t="s">
        <v>2725</v>
      </c>
      <c r="Q95" s="63" t="s">
        <v>2195</v>
      </c>
      <c r="S95" s="63" t="s">
        <v>2726</v>
      </c>
      <c r="T95" s="63" t="s">
        <v>2727</v>
      </c>
      <c r="U95" s="63" t="s">
        <v>2728</v>
      </c>
      <c r="W95" s="63" t="s">
        <v>2196</v>
      </c>
      <c r="X95" s="63" t="s">
        <v>2197</v>
      </c>
    </row>
    <row r="96" spans="1:24" x14ac:dyDescent="0.2">
      <c r="A96" s="63" t="s">
        <v>26</v>
      </c>
      <c r="C96" s="63" t="s">
        <v>411</v>
      </c>
      <c r="F96" s="63" t="s">
        <v>672</v>
      </c>
      <c r="G96" s="63" t="s">
        <v>1833</v>
      </c>
      <c r="H96" s="63" t="s">
        <v>1838</v>
      </c>
      <c r="I96" s="63" t="s">
        <v>1843</v>
      </c>
      <c r="J96" s="63" t="s">
        <v>1848</v>
      </c>
      <c r="K96" s="63" t="s">
        <v>1018</v>
      </c>
      <c r="L96" s="63" t="s">
        <v>1019</v>
      </c>
      <c r="N96" s="63" t="s">
        <v>1853</v>
      </c>
      <c r="O96" s="63" t="s">
        <v>1858</v>
      </c>
      <c r="P96" s="63" t="s">
        <v>1020</v>
      </c>
      <c r="Q96" s="63" t="s">
        <v>1021</v>
      </c>
      <c r="S96" s="63" t="s">
        <v>1022</v>
      </c>
      <c r="T96" s="63" t="s">
        <v>1023</v>
      </c>
      <c r="U96" s="63" t="s">
        <v>1024</v>
      </c>
      <c r="W96" s="63" t="s">
        <v>1025</v>
      </c>
      <c r="X96" s="63" t="s">
        <v>412</v>
      </c>
    </row>
    <row r="97" spans="1:24" x14ac:dyDescent="0.2">
      <c r="A97" s="63" t="s">
        <v>26</v>
      </c>
      <c r="C97" s="63" t="s">
        <v>1026</v>
      </c>
      <c r="F97" s="63" t="s">
        <v>678</v>
      </c>
      <c r="G97" s="63" t="s">
        <v>1834</v>
      </c>
      <c r="H97" s="63" t="s">
        <v>1839</v>
      </c>
      <c r="I97" s="63" t="s">
        <v>1844</v>
      </c>
      <c r="J97" s="63" t="s">
        <v>1849</v>
      </c>
      <c r="K97" s="63" t="s">
        <v>1027</v>
      </c>
      <c r="L97" s="63" t="s">
        <v>1028</v>
      </c>
      <c r="N97" s="63" t="s">
        <v>1854</v>
      </c>
      <c r="O97" s="63" t="s">
        <v>1859</v>
      </c>
      <c r="P97" s="63" t="s">
        <v>1029</v>
      </c>
      <c r="Q97" s="63" t="s">
        <v>1030</v>
      </c>
      <c r="S97" s="63" t="s">
        <v>1031</v>
      </c>
      <c r="T97" s="63" t="s">
        <v>1032</v>
      </c>
      <c r="U97" s="63" t="s">
        <v>1033</v>
      </c>
      <c r="W97" s="63" t="s">
        <v>1034</v>
      </c>
      <c r="X97" s="63" t="s">
        <v>1035</v>
      </c>
    </row>
    <row r="98" spans="1:24" x14ac:dyDescent="0.2">
      <c r="A98" s="63" t="s">
        <v>26</v>
      </c>
      <c r="C98" s="63" t="s">
        <v>413</v>
      </c>
      <c r="F98" s="63" t="s">
        <v>680</v>
      </c>
      <c r="G98" s="63" t="s">
        <v>1835</v>
      </c>
      <c r="H98" s="63" t="s">
        <v>1840</v>
      </c>
      <c r="I98" s="63" t="s">
        <v>1845</v>
      </c>
      <c r="J98" s="63" t="s">
        <v>1850</v>
      </c>
      <c r="K98" s="63" t="s">
        <v>414</v>
      </c>
      <c r="L98" s="63" t="s">
        <v>415</v>
      </c>
      <c r="N98" s="63" t="s">
        <v>1855</v>
      </c>
      <c r="O98" s="63" t="s">
        <v>1860</v>
      </c>
      <c r="P98" s="63" t="s">
        <v>416</v>
      </c>
      <c r="Q98" s="63" t="s">
        <v>417</v>
      </c>
      <c r="S98" s="63" t="s">
        <v>418</v>
      </c>
      <c r="T98" s="63" t="s">
        <v>419</v>
      </c>
      <c r="U98" s="63" t="s">
        <v>420</v>
      </c>
      <c r="W98" s="63" t="s">
        <v>421</v>
      </c>
      <c r="X98" s="63" t="s">
        <v>422</v>
      </c>
    </row>
    <row r="99" spans="1:24" x14ac:dyDescent="0.2">
      <c r="A99" s="63" t="s">
        <v>26</v>
      </c>
      <c r="C99" s="63" t="s">
        <v>423</v>
      </c>
      <c r="F99" s="63" t="s">
        <v>681</v>
      </c>
      <c r="G99" s="63" t="s">
        <v>1836</v>
      </c>
      <c r="H99" s="63" t="s">
        <v>1841</v>
      </c>
      <c r="I99" s="63" t="s">
        <v>1846</v>
      </c>
      <c r="J99" s="63" t="s">
        <v>1851</v>
      </c>
      <c r="K99" s="63" t="s">
        <v>1036</v>
      </c>
      <c r="L99" s="63" t="s">
        <v>1037</v>
      </c>
      <c r="N99" s="63" t="s">
        <v>1856</v>
      </c>
      <c r="O99" s="63" t="s">
        <v>1861</v>
      </c>
      <c r="P99" s="63" t="s">
        <v>1038</v>
      </c>
      <c r="Q99" s="63" t="s">
        <v>1039</v>
      </c>
      <c r="S99" s="63" t="s">
        <v>1040</v>
      </c>
      <c r="T99" s="63" t="s">
        <v>1041</v>
      </c>
      <c r="U99" s="63" t="s">
        <v>1042</v>
      </c>
      <c r="W99" s="63" t="s">
        <v>1043</v>
      </c>
      <c r="X99" s="63" t="s">
        <v>424</v>
      </c>
    </row>
    <row r="100" spans="1:24" x14ac:dyDescent="0.2">
      <c r="A100" s="63" t="s">
        <v>26</v>
      </c>
      <c r="C100" s="63" t="s">
        <v>425</v>
      </c>
      <c r="F100" s="63" t="s">
        <v>684</v>
      </c>
      <c r="G100" s="63" t="s">
        <v>1837</v>
      </c>
      <c r="H100" s="63" t="s">
        <v>1842</v>
      </c>
      <c r="I100" s="63" t="s">
        <v>1847</v>
      </c>
      <c r="J100" s="63" t="s">
        <v>1852</v>
      </c>
      <c r="K100" s="63" t="s">
        <v>1044</v>
      </c>
      <c r="L100" s="63" t="s">
        <v>426</v>
      </c>
      <c r="N100" s="63" t="s">
        <v>1857</v>
      </c>
      <c r="O100" s="63" t="s">
        <v>1862</v>
      </c>
      <c r="P100" s="63" t="s">
        <v>1045</v>
      </c>
      <c r="Q100" s="63" t="s">
        <v>427</v>
      </c>
      <c r="S100" s="63" t="s">
        <v>1046</v>
      </c>
      <c r="T100" s="63" t="s">
        <v>1047</v>
      </c>
      <c r="U100" s="63" t="s">
        <v>1048</v>
      </c>
      <c r="W100" s="63" t="s">
        <v>428</v>
      </c>
      <c r="X100" s="63" t="s">
        <v>429</v>
      </c>
    </row>
    <row r="101" spans="1:24" x14ac:dyDescent="0.2">
      <c r="A101" s="63" t="s">
        <v>26</v>
      </c>
      <c r="C101" s="63" t="s">
        <v>2198</v>
      </c>
      <c r="F101" s="63" t="s">
        <v>690</v>
      </c>
      <c r="G101" s="63" t="s">
        <v>3220</v>
      </c>
      <c r="H101" s="63" t="s">
        <v>3225</v>
      </c>
      <c r="I101" s="63" t="s">
        <v>3230</v>
      </c>
      <c r="J101" s="63" t="s">
        <v>3235</v>
      </c>
      <c r="K101" s="63" t="s">
        <v>2729</v>
      </c>
      <c r="L101" s="63" t="s">
        <v>2730</v>
      </c>
      <c r="N101" s="63" t="s">
        <v>3240</v>
      </c>
      <c r="O101" s="63" t="s">
        <v>3245</v>
      </c>
      <c r="P101" s="63" t="s">
        <v>2731</v>
      </c>
      <c r="Q101" s="63" t="s">
        <v>2732</v>
      </c>
      <c r="S101" s="63" t="s">
        <v>2733</v>
      </c>
      <c r="T101" s="63" t="s">
        <v>2734</v>
      </c>
      <c r="U101" s="63" t="s">
        <v>2735</v>
      </c>
      <c r="W101" s="63" t="s">
        <v>2736</v>
      </c>
      <c r="X101" s="63" t="s">
        <v>430</v>
      </c>
    </row>
    <row r="102" spans="1:24" x14ac:dyDescent="0.2">
      <c r="A102" s="63" t="s">
        <v>26</v>
      </c>
      <c r="C102" s="63" t="s">
        <v>360</v>
      </c>
      <c r="X102" s="63" t="s">
        <v>1049</v>
      </c>
    </row>
    <row r="103" spans="1:24" x14ac:dyDescent="0.2">
      <c r="A103" s="63" t="s">
        <v>26</v>
      </c>
      <c r="C103" s="63" t="s">
        <v>432</v>
      </c>
      <c r="H103" s="63" t="s">
        <v>2737</v>
      </c>
      <c r="I103" s="63" t="s">
        <v>2738</v>
      </c>
      <c r="J103" s="63" t="s">
        <v>2739</v>
      </c>
      <c r="K103" s="63" t="s">
        <v>2740</v>
      </c>
      <c r="L103" s="63" t="s">
        <v>2199</v>
      </c>
      <c r="N103" s="63" t="s">
        <v>2741</v>
      </c>
      <c r="O103" s="63" t="s">
        <v>2742</v>
      </c>
      <c r="P103" s="63" t="s">
        <v>2743</v>
      </c>
      <c r="Q103" s="63" t="s">
        <v>2200</v>
      </c>
      <c r="S103" s="63" t="s">
        <v>2744</v>
      </c>
      <c r="T103" s="63" t="s">
        <v>2745</v>
      </c>
      <c r="U103" s="63" t="s">
        <v>2746</v>
      </c>
      <c r="W103" s="63" t="s">
        <v>2201</v>
      </c>
      <c r="X103" s="63" t="s">
        <v>433</v>
      </c>
    </row>
    <row r="104" spans="1:24" x14ac:dyDescent="0.2">
      <c r="A104" s="63" t="s">
        <v>26</v>
      </c>
      <c r="C104" s="63" t="s">
        <v>2202</v>
      </c>
    </row>
    <row r="105" spans="1:24" x14ac:dyDescent="0.2">
      <c r="A105" s="63" t="s">
        <v>26</v>
      </c>
      <c r="C105" s="63" t="s">
        <v>2747</v>
      </c>
      <c r="E105" s="63" t="s">
        <v>609</v>
      </c>
    </row>
    <row r="106" spans="1:24" x14ac:dyDescent="0.2">
      <c r="A106" s="63" t="s">
        <v>26</v>
      </c>
      <c r="C106" s="63" t="s">
        <v>436</v>
      </c>
      <c r="F106" s="63" t="s">
        <v>2748</v>
      </c>
      <c r="G106" s="63" t="s">
        <v>1815</v>
      </c>
      <c r="H106" s="63" t="s">
        <v>1818</v>
      </c>
      <c r="I106" s="63" t="s">
        <v>1821</v>
      </c>
      <c r="J106" s="63" t="s">
        <v>1824</v>
      </c>
      <c r="K106" s="63" t="s">
        <v>438</v>
      </c>
      <c r="L106" s="63" t="s">
        <v>439</v>
      </c>
      <c r="N106" s="63" t="s">
        <v>1827</v>
      </c>
      <c r="O106" s="63" t="s">
        <v>1830</v>
      </c>
      <c r="P106" s="63" t="s">
        <v>440</v>
      </c>
      <c r="Q106" s="63" t="s">
        <v>441</v>
      </c>
      <c r="S106" s="63" t="s">
        <v>442</v>
      </c>
      <c r="T106" s="63" t="s">
        <v>443</v>
      </c>
      <c r="U106" s="63" t="s">
        <v>444</v>
      </c>
      <c r="W106" s="63" t="s">
        <v>445</v>
      </c>
      <c r="X106" s="63" t="s">
        <v>446</v>
      </c>
    </row>
    <row r="107" spans="1:24" x14ac:dyDescent="0.2">
      <c r="A107" s="63" t="s">
        <v>26</v>
      </c>
      <c r="C107" s="63" t="s">
        <v>447</v>
      </c>
      <c r="F107" s="63" t="s">
        <v>612</v>
      </c>
      <c r="G107" s="63" t="s">
        <v>1816</v>
      </c>
      <c r="H107" s="63" t="s">
        <v>1819</v>
      </c>
      <c r="I107" s="63" t="s">
        <v>1822</v>
      </c>
      <c r="J107" s="63" t="s">
        <v>1825</v>
      </c>
      <c r="K107" s="63" t="s">
        <v>449</v>
      </c>
      <c r="L107" s="63" t="s">
        <v>450</v>
      </c>
      <c r="N107" s="63" t="s">
        <v>1828</v>
      </c>
      <c r="O107" s="63" t="s">
        <v>1831</v>
      </c>
      <c r="P107" s="63" t="s">
        <v>451</v>
      </c>
      <c r="Q107" s="63" t="s">
        <v>452</v>
      </c>
      <c r="S107" s="63" t="s">
        <v>453</v>
      </c>
      <c r="T107" s="63" t="s">
        <v>454</v>
      </c>
      <c r="U107" s="63" t="s">
        <v>455</v>
      </c>
      <c r="W107" s="63" t="s">
        <v>456</v>
      </c>
      <c r="X107" s="63" t="s">
        <v>457</v>
      </c>
    </row>
    <row r="108" spans="1:24" x14ac:dyDescent="0.2">
      <c r="A108" s="63" t="s">
        <v>26</v>
      </c>
      <c r="C108" s="63" t="s">
        <v>1050</v>
      </c>
      <c r="F108" s="63" t="s">
        <v>613</v>
      </c>
      <c r="G108" s="63" t="s">
        <v>1817</v>
      </c>
      <c r="H108" s="63" t="s">
        <v>1820</v>
      </c>
      <c r="I108" s="63" t="s">
        <v>1823</v>
      </c>
      <c r="J108" s="63" t="s">
        <v>1826</v>
      </c>
      <c r="K108" s="63" t="s">
        <v>1051</v>
      </c>
      <c r="L108" s="63" t="s">
        <v>1052</v>
      </c>
      <c r="N108" s="63" t="s">
        <v>1829</v>
      </c>
      <c r="O108" s="63" t="s">
        <v>1832</v>
      </c>
      <c r="P108" s="63" t="s">
        <v>1053</v>
      </c>
      <c r="Q108" s="63" t="s">
        <v>1054</v>
      </c>
      <c r="S108" s="63" t="s">
        <v>1055</v>
      </c>
      <c r="T108" s="63" t="s">
        <v>1056</v>
      </c>
      <c r="U108" s="63" t="s">
        <v>1057</v>
      </c>
      <c r="W108" s="63" t="s">
        <v>1058</v>
      </c>
      <c r="X108" s="63" t="s">
        <v>458</v>
      </c>
    </row>
    <row r="109" spans="1:24" x14ac:dyDescent="0.2">
      <c r="A109" s="63" t="s">
        <v>26</v>
      </c>
      <c r="C109" s="63" t="s">
        <v>2203</v>
      </c>
      <c r="F109" s="63" t="s">
        <v>615</v>
      </c>
      <c r="G109" s="63" t="s">
        <v>3204</v>
      </c>
      <c r="H109" s="63" t="s">
        <v>3206</v>
      </c>
      <c r="I109" s="63" t="s">
        <v>3208</v>
      </c>
      <c r="J109" s="63" t="s">
        <v>3210</v>
      </c>
      <c r="K109" s="63" t="s">
        <v>2749</v>
      </c>
      <c r="L109" s="63" t="s">
        <v>2204</v>
      </c>
      <c r="N109" s="63" t="s">
        <v>3212</v>
      </c>
      <c r="O109" s="63" t="s">
        <v>3214</v>
      </c>
      <c r="P109" s="63" t="s">
        <v>2750</v>
      </c>
      <c r="Q109" s="63" t="s">
        <v>2205</v>
      </c>
      <c r="S109" s="63" t="s">
        <v>2751</v>
      </c>
      <c r="T109" s="63" t="s">
        <v>2752</v>
      </c>
      <c r="U109" s="63" t="s">
        <v>2753</v>
      </c>
      <c r="W109" s="63" t="s">
        <v>2206</v>
      </c>
      <c r="X109" s="63" t="s">
        <v>459</v>
      </c>
    </row>
    <row r="110" spans="1:24" x14ac:dyDescent="0.2">
      <c r="A110" s="63" t="s">
        <v>26</v>
      </c>
      <c r="C110" s="63" t="s">
        <v>460</v>
      </c>
      <c r="F110" s="63" t="s">
        <v>618</v>
      </c>
      <c r="G110" s="63" t="s">
        <v>3205</v>
      </c>
      <c r="H110" s="63" t="s">
        <v>3207</v>
      </c>
      <c r="I110" s="63" t="s">
        <v>3209</v>
      </c>
      <c r="J110" s="63" t="s">
        <v>3211</v>
      </c>
      <c r="K110" s="63" t="s">
        <v>2754</v>
      </c>
      <c r="L110" s="63" t="s">
        <v>1059</v>
      </c>
      <c r="N110" s="63" t="s">
        <v>3213</v>
      </c>
      <c r="O110" s="63" t="s">
        <v>3215</v>
      </c>
      <c r="P110" s="63" t="s">
        <v>2755</v>
      </c>
      <c r="Q110" s="63" t="s">
        <v>1060</v>
      </c>
      <c r="S110" s="63" t="s">
        <v>2756</v>
      </c>
      <c r="T110" s="63" t="s">
        <v>2757</v>
      </c>
      <c r="U110" s="63" t="s">
        <v>2758</v>
      </c>
      <c r="W110" s="63" t="s">
        <v>1061</v>
      </c>
      <c r="X110" s="63" t="s">
        <v>461</v>
      </c>
    </row>
    <row r="111" spans="1:24" x14ac:dyDescent="0.2">
      <c r="A111" s="63" t="s">
        <v>26</v>
      </c>
      <c r="C111" s="63" t="s">
        <v>447</v>
      </c>
      <c r="X111" s="63" t="s">
        <v>1062</v>
      </c>
    </row>
    <row r="112" spans="1:24" x14ac:dyDescent="0.2">
      <c r="A112" s="63" t="s">
        <v>26</v>
      </c>
      <c r="C112" s="63" t="s">
        <v>2207</v>
      </c>
      <c r="H112" s="63" t="s">
        <v>2759</v>
      </c>
      <c r="I112" s="63" t="s">
        <v>2760</v>
      </c>
      <c r="J112" s="63" t="s">
        <v>2761</v>
      </c>
      <c r="K112" s="63" t="s">
        <v>2762</v>
      </c>
      <c r="L112" s="63" t="s">
        <v>2208</v>
      </c>
      <c r="N112" s="63" t="s">
        <v>2763</v>
      </c>
      <c r="O112" s="63" t="s">
        <v>2764</v>
      </c>
      <c r="P112" s="63" t="s">
        <v>2765</v>
      </c>
      <c r="Q112" s="63" t="s">
        <v>2209</v>
      </c>
      <c r="S112" s="63" t="s">
        <v>2766</v>
      </c>
      <c r="T112" s="63" t="s">
        <v>2767</v>
      </c>
      <c r="U112" s="63" t="s">
        <v>2768</v>
      </c>
      <c r="W112" s="63" t="s">
        <v>2210</v>
      </c>
      <c r="X112" s="63" t="s">
        <v>2211</v>
      </c>
    </row>
    <row r="113" spans="1:24" x14ac:dyDescent="0.2">
      <c r="A113" s="63" t="s">
        <v>26</v>
      </c>
      <c r="C113" s="63" t="s">
        <v>463</v>
      </c>
    </row>
    <row r="114" spans="1:24" x14ac:dyDescent="0.2">
      <c r="A114" s="63" t="s">
        <v>26</v>
      </c>
      <c r="C114" s="63" t="s">
        <v>2769</v>
      </c>
      <c r="E114" s="63" t="s">
        <v>575</v>
      </c>
    </row>
    <row r="115" spans="1:24" x14ac:dyDescent="0.2">
      <c r="A115" s="63" t="s">
        <v>26</v>
      </c>
      <c r="C115" s="63" t="s">
        <v>466</v>
      </c>
      <c r="F115" s="63" t="s">
        <v>2770</v>
      </c>
      <c r="G115" s="63" t="s">
        <v>2519</v>
      </c>
      <c r="H115" s="63" t="s">
        <v>2521</v>
      </c>
      <c r="I115" s="63" t="s">
        <v>2523</v>
      </c>
      <c r="J115" s="63" t="s">
        <v>2525</v>
      </c>
      <c r="K115" s="63" t="s">
        <v>2212</v>
      </c>
      <c r="L115" s="63" t="s">
        <v>468</v>
      </c>
      <c r="N115" s="63" t="s">
        <v>2527</v>
      </c>
      <c r="O115" s="63" t="s">
        <v>2529</v>
      </c>
      <c r="P115" s="63" t="s">
        <v>2213</v>
      </c>
      <c r="Q115" s="63" t="s">
        <v>469</v>
      </c>
      <c r="S115" s="63" t="s">
        <v>2214</v>
      </c>
      <c r="T115" s="63" t="s">
        <v>2215</v>
      </c>
      <c r="U115" s="63" t="s">
        <v>2216</v>
      </c>
      <c r="W115" s="63" t="s">
        <v>470</v>
      </c>
      <c r="X115" s="63" t="s">
        <v>471</v>
      </c>
    </row>
    <row r="116" spans="1:24" x14ac:dyDescent="0.2">
      <c r="A116" s="63" t="s">
        <v>26</v>
      </c>
      <c r="C116" s="63" t="s">
        <v>472</v>
      </c>
      <c r="F116" s="63" t="s">
        <v>578</v>
      </c>
      <c r="G116" s="63" t="s">
        <v>2520</v>
      </c>
      <c r="H116" s="63" t="s">
        <v>2522</v>
      </c>
      <c r="I116" s="63" t="s">
        <v>2524</v>
      </c>
      <c r="J116" s="63" t="s">
        <v>2526</v>
      </c>
      <c r="K116" s="63" t="s">
        <v>2217</v>
      </c>
      <c r="L116" s="63" t="s">
        <v>2218</v>
      </c>
      <c r="N116" s="63" t="s">
        <v>2528</v>
      </c>
      <c r="O116" s="63" t="s">
        <v>2530</v>
      </c>
      <c r="P116" s="63" t="s">
        <v>2219</v>
      </c>
      <c r="Q116" s="63" t="s">
        <v>2220</v>
      </c>
      <c r="S116" s="63" t="s">
        <v>2221</v>
      </c>
      <c r="T116" s="63" t="s">
        <v>2222</v>
      </c>
      <c r="U116" s="63" t="s">
        <v>2223</v>
      </c>
      <c r="W116" s="63" t="s">
        <v>2224</v>
      </c>
      <c r="X116" s="63" t="s">
        <v>474</v>
      </c>
    </row>
    <row r="117" spans="1:24" x14ac:dyDescent="0.2">
      <c r="A117" s="63" t="s">
        <v>26</v>
      </c>
      <c r="C117" s="63" t="s">
        <v>2771</v>
      </c>
      <c r="F117" s="63" t="s">
        <v>579</v>
      </c>
      <c r="G117" s="63" t="s">
        <v>3198</v>
      </c>
      <c r="H117" s="63" t="s">
        <v>3199</v>
      </c>
      <c r="I117" s="63" t="s">
        <v>3200</v>
      </c>
      <c r="J117" s="63" t="s">
        <v>3201</v>
      </c>
      <c r="K117" s="63" t="s">
        <v>2772</v>
      </c>
      <c r="L117" s="63" t="s">
        <v>2773</v>
      </c>
      <c r="N117" s="63" t="s">
        <v>3202</v>
      </c>
      <c r="O117" s="63" t="s">
        <v>3203</v>
      </c>
      <c r="P117" s="63" t="s">
        <v>2774</v>
      </c>
      <c r="Q117" s="63" t="s">
        <v>2775</v>
      </c>
      <c r="S117" s="63" t="s">
        <v>2776</v>
      </c>
      <c r="T117" s="63" t="s">
        <v>2777</v>
      </c>
      <c r="U117" s="63" t="s">
        <v>2778</v>
      </c>
      <c r="W117" s="63" t="s">
        <v>2779</v>
      </c>
      <c r="X117" s="63" t="s">
        <v>2225</v>
      </c>
    </row>
    <row r="118" spans="1:24" x14ac:dyDescent="0.2">
      <c r="A118" s="63" t="s">
        <v>26</v>
      </c>
      <c r="C118" s="63" t="s">
        <v>475</v>
      </c>
      <c r="F118" s="63" t="s">
        <v>581</v>
      </c>
      <c r="G118" s="63" t="s">
        <v>1803</v>
      </c>
      <c r="H118" s="63" t="s">
        <v>1805</v>
      </c>
      <c r="I118" s="63" t="s">
        <v>1807</v>
      </c>
      <c r="J118" s="63" t="s">
        <v>1809</v>
      </c>
      <c r="K118" s="63" t="s">
        <v>1063</v>
      </c>
      <c r="L118" s="63" t="s">
        <v>476</v>
      </c>
      <c r="N118" s="63" t="s">
        <v>1811</v>
      </c>
      <c r="O118" s="63" t="s">
        <v>1813</v>
      </c>
      <c r="P118" s="63" t="s">
        <v>1064</v>
      </c>
      <c r="Q118" s="63" t="s">
        <v>477</v>
      </c>
      <c r="S118" s="63" t="s">
        <v>1065</v>
      </c>
      <c r="T118" s="63" t="s">
        <v>1066</v>
      </c>
      <c r="U118" s="63" t="s">
        <v>1067</v>
      </c>
      <c r="W118" s="63" t="s">
        <v>478</v>
      </c>
      <c r="X118" s="63" t="s">
        <v>479</v>
      </c>
    </row>
    <row r="119" spans="1:24" x14ac:dyDescent="0.2">
      <c r="A119" s="63" t="s">
        <v>26</v>
      </c>
      <c r="C119" s="63" t="s">
        <v>480</v>
      </c>
      <c r="F119" s="63" t="s">
        <v>592</v>
      </c>
      <c r="G119" s="63" t="s">
        <v>1804</v>
      </c>
      <c r="H119" s="63" t="s">
        <v>1806</v>
      </c>
      <c r="I119" s="63" t="s">
        <v>1808</v>
      </c>
      <c r="J119" s="63" t="s">
        <v>1810</v>
      </c>
      <c r="K119" s="63" t="s">
        <v>1068</v>
      </c>
      <c r="L119" s="63" t="s">
        <v>1069</v>
      </c>
      <c r="N119" s="63" t="s">
        <v>1812</v>
      </c>
      <c r="O119" s="63" t="s">
        <v>1814</v>
      </c>
      <c r="P119" s="63" t="s">
        <v>1070</v>
      </c>
      <c r="Q119" s="63" t="s">
        <v>1071</v>
      </c>
      <c r="S119" s="63" t="s">
        <v>1072</v>
      </c>
      <c r="T119" s="63" t="s">
        <v>1073</v>
      </c>
      <c r="U119" s="63" t="s">
        <v>1074</v>
      </c>
      <c r="W119" s="63" t="s">
        <v>1075</v>
      </c>
      <c r="X119" s="63" t="s">
        <v>481</v>
      </c>
    </row>
    <row r="120" spans="1:24" x14ac:dyDescent="0.2">
      <c r="A120" s="63" t="s">
        <v>26</v>
      </c>
      <c r="C120" s="63" t="s">
        <v>472</v>
      </c>
      <c r="X120" s="63" t="s">
        <v>1076</v>
      </c>
    </row>
    <row r="121" spans="1:24" x14ac:dyDescent="0.2">
      <c r="A121" s="63" t="s">
        <v>26</v>
      </c>
      <c r="C121" s="63" t="s">
        <v>483</v>
      </c>
      <c r="H121" s="63" t="s">
        <v>2780</v>
      </c>
      <c r="I121" s="63" t="s">
        <v>2781</v>
      </c>
      <c r="J121" s="63" t="s">
        <v>2782</v>
      </c>
      <c r="K121" s="63" t="s">
        <v>2783</v>
      </c>
      <c r="L121" s="63" t="s">
        <v>484</v>
      </c>
      <c r="N121" s="63" t="s">
        <v>2784</v>
      </c>
      <c r="O121" s="63" t="s">
        <v>2785</v>
      </c>
      <c r="P121" s="63" t="s">
        <v>2786</v>
      </c>
      <c r="Q121" s="63" t="s">
        <v>485</v>
      </c>
      <c r="S121" s="63" t="s">
        <v>2787</v>
      </c>
      <c r="T121" s="63" t="s">
        <v>2788</v>
      </c>
      <c r="U121" s="63" t="s">
        <v>2789</v>
      </c>
      <c r="W121" s="63" t="s">
        <v>486</v>
      </c>
      <c r="X121" s="63" t="s">
        <v>487</v>
      </c>
    </row>
    <row r="122" spans="1:24" x14ac:dyDescent="0.2">
      <c r="A122" s="63" t="s">
        <v>26</v>
      </c>
      <c r="C122" s="63" t="s">
        <v>488</v>
      </c>
    </row>
    <row r="123" spans="1:24" x14ac:dyDescent="0.2">
      <c r="A123" s="63" t="s">
        <v>26</v>
      </c>
      <c r="C123" s="63" t="s">
        <v>2790</v>
      </c>
      <c r="E123" s="63" t="s">
        <v>541</v>
      </c>
    </row>
    <row r="124" spans="1:24" x14ac:dyDescent="0.2">
      <c r="A124" s="63" t="s">
        <v>26</v>
      </c>
      <c r="C124" s="63" t="s">
        <v>491</v>
      </c>
      <c r="F124" s="63" t="s">
        <v>2791</v>
      </c>
      <c r="G124" s="63" t="s">
        <v>2507</v>
      </c>
      <c r="H124" s="63" t="s">
        <v>2509</v>
      </c>
      <c r="I124" s="63" t="s">
        <v>2511</v>
      </c>
      <c r="J124" s="63" t="s">
        <v>2513</v>
      </c>
      <c r="K124" s="63" t="s">
        <v>2226</v>
      </c>
      <c r="L124" s="63" t="s">
        <v>493</v>
      </c>
      <c r="N124" s="63" t="s">
        <v>2515</v>
      </c>
      <c r="O124" s="63" t="s">
        <v>2517</v>
      </c>
      <c r="P124" s="63" t="s">
        <v>2227</v>
      </c>
      <c r="Q124" s="63" t="s">
        <v>494</v>
      </c>
      <c r="S124" s="63" t="s">
        <v>2228</v>
      </c>
      <c r="T124" s="63" t="s">
        <v>2229</v>
      </c>
      <c r="U124" s="63" t="s">
        <v>2230</v>
      </c>
      <c r="W124" s="63" t="s">
        <v>495</v>
      </c>
      <c r="X124" s="63" t="s">
        <v>496</v>
      </c>
    </row>
    <row r="125" spans="1:24" x14ac:dyDescent="0.2">
      <c r="A125" s="63" t="s">
        <v>26</v>
      </c>
      <c r="C125" s="63" t="s">
        <v>497</v>
      </c>
      <c r="F125" s="63" t="s">
        <v>544</v>
      </c>
      <c r="G125" s="63" t="s">
        <v>2508</v>
      </c>
      <c r="H125" s="63" t="s">
        <v>2510</v>
      </c>
      <c r="I125" s="63" t="s">
        <v>2512</v>
      </c>
      <c r="J125" s="63" t="s">
        <v>2514</v>
      </c>
      <c r="K125" s="63" t="s">
        <v>2231</v>
      </c>
      <c r="L125" s="63" t="s">
        <v>2232</v>
      </c>
      <c r="N125" s="63" t="s">
        <v>2516</v>
      </c>
      <c r="O125" s="63" t="s">
        <v>2518</v>
      </c>
      <c r="P125" s="63" t="s">
        <v>2233</v>
      </c>
      <c r="Q125" s="63" t="s">
        <v>2234</v>
      </c>
      <c r="S125" s="63" t="s">
        <v>2235</v>
      </c>
      <c r="T125" s="63" t="s">
        <v>2236</v>
      </c>
      <c r="U125" s="63" t="s">
        <v>2237</v>
      </c>
      <c r="W125" s="63" t="s">
        <v>2238</v>
      </c>
      <c r="X125" s="63" t="s">
        <v>499</v>
      </c>
    </row>
    <row r="126" spans="1:24" x14ac:dyDescent="0.2">
      <c r="A126" s="63" t="s">
        <v>26</v>
      </c>
      <c r="C126" s="63" t="s">
        <v>2792</v>
      </c>
      <c r="F126" s="63" t="s">
        <v>545</v>
      </c>
      <c r="G126" s="63" t="s">
        <v>3186</v>
      </c>
      <c r="H126" s="63" t="s">
        <v>3188</v>
      </c>
      <c r="I126" s="63" t="s">
        <v>3190</v>
      </c>
      <c r="J126" s="63" t="s">
        <v>3192</v>
      </c>
      <c r="K126" s="63" t="s">
        <v>2793</v>
      </c>
      <c r="L126" s="63" t="s">
        <v>2794</v>
      </c>
      <c r="N126" s="63" t="s">
        <v>3194</v>
      </c>
      <c r="O126" s="63" t="s">
        <v>3196</v>
      </c>
      <c r="P126" s="63" t="s">
        <v>2795</v>
      </c>
      <c r="Q126" s="63" t="s">
        <v>2796</v>
      </c>
      <c r="S126" s="63" t="s">
        <v>2797</v>
      </c>
      <c r="T126" s="63" t="s">
        <v>2798</v>
      </c>
      <c r="U126" s="63" t="s">
        <v>2799</v>
      </c>
      <c r="W126" s="63" t="s">
        <v>2800</v>
      </c>
      <c r="X126" s="63" t="s">
        <v>2239</v>
      </c>
    </row>
    <row r="127" spans="1:24" x14ac:dyDescent="0.2">
      <c r="A127" s="63" t="s">
        <v>26</v>
      </c>
      <c r="C127" s="63" t="s">
        <v>500</v>
      </c>
      <c r="F127" s="63" t="s">
        <v>547</v>
      </c>
      <c r="G127" s="63" t="s">
        <v>1077</v>
      </c>
      <c r="H127" s="63" t="s">
        <v>1078</v>
      </c>
      <c r="I127" s="63" t="s">
        <v>1079</v>
      </c>
      <c r="J127" s="63" t="s">
        <v>1080</v>
      </c>
      <c r="K127" s="63" t="s">
        <v>1081</v>
      </c>
      <c r="L127" s="63" t="s">
        <v>501</v>
      </c>
      <c r="N127" s="63" t="s">
        <v>1082</v>
      </c>
      <c r="O127" s="63" t="s">
        <v>1083</v>
      </c>
      <c r="P127" s="63" t="s">
        <v>1084</v>
      </c>
      <c r="Q127" s="63" t="s">
        <v>502</v>
      </c>
      <c r="S127" s="63" t="s">
        <v>1085</v>
      </c>
      <c r="T127" s="63" t="s">
        <v>1086</v>
      </c>
      <c r="U127" s="63" t="s">
        <v>1087</v>
      </c>
      <c r="W127" s="63" t="s">
        <v>503</v>
      </c>
      <c r="X127" s="63" t="s">
        <v>504</v>
      </c>
    </row>
    <row r="128" spans="1:24" x14ac:dyDescent="0.2">
      <c r="A128" s="63" t="s">
        <v>26</v>
      </c>
      <c r="C128" s="63" t="s">
        <v>505</v>
      </c>
      <c r="F128" s="63" t="s">
        <v>558</v>
      </c>
      <c r="G128" s="63" t="s">
        <v>3187</v>
      </c>
      <c r="H128" s="63" t="s">
        <v>3189</v>
      </c>
      <c r="I128" s="63" t="s">
        <v>3191</v>
      </c>
      <c r="J128" s="63" t="s">
        <v>3193</v>
      </c>
      <c r="K128" s="63" t="s">
        <v>2801</v>
      </c>
      <c r="L128" s="63" t="s">
        <v>2802</v>
      </c>
      <c r="N128" s="63" t="s">
        <v>3195</v>
      </c>
      <c r="O128" s="63" t="s">
        <v>3197</v>
      </c>
      <c r="P128" s="63" t="s">
        <v>2803</v>
      </c>
      <c r="Q128" s="63" t="s">
        <v>2804</v>
      </c>
      <c r="S128" s="63" t="s">
        <v>2805</v>
      </c>
      <c r="T128" s="63" t="s">
        <v>2806</v>
      </c>
      <c r="U128" s="63" t="s">
        <v>2807</v>
      </c>
      <c r="W128" s="63" t="s">
        <v>2808</v>
      </c>
      <c r="X128" s="63" t="s">
        <v>506</v>
      </c>
    </row>
    <row r="129" spans="1:24" x14ac:dyDescent="0.2">
      <c r="A129" s="63" t="s">
        <v>26</v>
      </c>
      <c r="C129" s="63" t="s">
        <v>497</v>
      </c>
      <c r="X129" s="63" t="s">
        <v>1088</v>
      </c>
    </row>
    <row r="130" spans="1:24" x14ac:dyDescent="0.2">
      <c r="A130" s="63" t="s">
        <v>26</v>
      </c>
      <c r="C130" s="63" t="s">
        <v>508</v>
      </c>
      <c r="H130" s="63" t="s">
        <v>2809</v>
      </c>
      <c r="I130" s="63" t="s">
        <v>2810</v>
      </c>
      <c r="J130" s="63" t="s">
        <v>2811</v>
      </c>
      <c r="K130" s="63" t="s">
        <v>2812</v>
      </c>
      <c r="L130" s="63" t="s">
        <v>2240</v>
      </c>
      <c r="N130" s="63" t="s">
        <v>2813</v>
      </c>
      <c r="O130" s="63" t="s">
        <v>2814</v>
      </c>
      <c r="P130" s="63" t="s">
        <v>2815</v>
      </c>
      <c r="Q130" s="63" t="s">
        <v>2241</v>
      </c>
      <c r="S130" s="63" t="s">
        <v>2816</v>
      </c>
      <c r="T130" s="63" t="s">
        <v>2817</v>
      </c>
      <c r="U130" s="63" t="s">
        <v>2818</v>
      </c>
      <c r="W130" s="63" t="s">
        <v>2242</v>
      </c>
      <c r="X130" s="63" t="s">
        <v>509</v>
      </c>
    </row>
    <row r="131" spans="1:24" x14ac:dyDescent="0.2">
      <c r="A131" s="63" t="s">
        <v>26</v>
      </c>
      <c r="C131" s="63" t="s">
        <v>2243</v>
      </c>
    </row>
    <row r="132" spans="1:24" x14ac:dyDescent="0.2">
      <c r="A132" s="63" t="s">
        <v>26</v>
      </c>
      <c r="C132" s="63" t="s">
        <v>2819</v>
      </c>
      <c r="E132" s="63" t="s">
        <v>507</v>
      </c>
    </row>
    <row r="133" spans="1:24" x14ac:dyDescent="0.2">
      <c r="A133" s="63" t="s">
        <v>26</v>
      </c>
      <c r="C133" s="63" t="s">
        <v>512</v>
      </c>
      <c r="F133" s="63" t="s">
        <v>2820</v>
      </c>
      <c r="G133" s="63" t="s">
        <v>1779</v>
      </c>
      <c r="H133" s="63" t="s">
        <v>1783</v>
      </c>
      <c r="I133" s="63" t="s">
        <v>1787</v>
      </c>
      <c r="J133" s="63" t="s">
        <v>1791</v>
      </c>
      <c r="K133" s="63" t="s">
        <v>514</v>
      </c>
      <c r="L133" s="63" t="s">
        <v>515</v>
      </c>
      <c r="N133" s="63" t="s">
        <v>1795</v>
      </c>
      <c r="O133" s="63" t="s">
        <v>1799</v>
      </c>
      <c r="P133" s="63" t="s">
        <v>516</v>
      </c>
      <c r="Q133" s="63" t="s">
        <v>517</v>
      </c>
      <c r="S133" s="63" t="s">
        <v>518</v>
      </c>
      <c r="T133" s="63" t="s">
        <v>519</v>
      </c>
      <c r="U133" s="63" t="s">
        <v>520</v>
      </c>
      <c r="W133" s="63" t="s">
        <v>521</v>
      </c>
      <c r="X133" s="63" t="s">
        <v>522</v>
      </c>
    </row>
    <row r="134" spans="1:24" x14ac:dyDescent="0.2">
      <c r="A134" s="63" t="s">
        <v>26</v>
      </c>
      <c r="C134" s="63" t="s">
        <v>523</v>
      </c>
      <c r="F134" s="63" t="s">
        <v>510</v>
      </c>
      <c r="G134" s="63" t="s">
        <v>1780</v>
      </c>
      <c r="H134" s="63" t="s">
        <v>1784</v>
      </c>
      <c r="I134" s="63" t="s">
        <v>1788</v>
      </c>
      <c r="J134" s="63" t="s">
        <v>1792</v>
      </c>
      <c r="K134" s="63" t="s">
        <v>525</v>
      </c>
      <c r="L134" s="63" t="s">
        <v>526</v>
      </c>
      <c r="N134" s="63" t="s">
        <v>1796</v>
      </c>
      <c r="O134" s="63" t="s">
        <v>1800</v>
      </c>
      <c r="P134" s="63" t="s">
        <v>527</v>
      </c>
      <c r="Q134" s="63" t="s">
        <v>528</v>
      </c>
      <c r="S134" s="63" t="s">
        <v>529</v>
      </c>
      <c r="T134" s="63" t="s">
        <v>530</v>
      </c>
      <c r="U134" s="63" t="s">
        <v>531</v>
      </c>
      <c r="W134" s="63" t="s">
        <v>532</v>
      </c>
      <c r="X134" s="63" t="s">
        <v>533</v>
      </c>
    </row>
    <row r="135" spans="1:24" x14ac:dyDescent="0.2">
      <c r="A135" s="63" t="s">
        <v>26</v>
      </c>
      <c r="C135" s="63" t="s">
        <v>1089</v>
      </c>
      <c r="F135" s="63" t="s">
        <v>511</v>
      </c>
      <c r="G135" s="63" t="s">
        <v>1781</v>
      </c>
      <c r="H135" s="63" t="s">
        <v>1785</v>
      </c>
      <c r="I135" s="63" t="s">
        <v>1789</v>
      </c>
      <c r="J135" s="63" t="s">
        <v>1793</v>
      </c>
      <c r="K135" s="63" t="s">
        <v>1090</v>
      </c>
      <c r="L135" s="63" t="s">
        <v>1091</v>
      </c>
      <c r="N135" s="63" t="s">
        <v>1797</v>
      </c>
      <c r="O135" s="63" t="s">
        <v>1801</v>
      </c>
      <c r="P135" s="63" t="s">
        <v>1092</v>
      </c>
      <c r="Q135" s="63" t="s">
        <v>1093</v>
      </c>
      <c r="S135" s="63" t="s">
        <v>1094</v>
      </c>
      <c r="T135" s="63" t="s">
        <v>1095</v>
      </c>
      <c r="U135" s="63" t="s">
        <v>1096</v>
      </c>
      <c r="W135" s="63" t="s">
        <v>1097</v>
      </c>
      <c r="X135" s="63" t="s">
        <v>534</v>
      </c>
    </row>
    <row r="136" spans="1:24" x14ac:dyDescent="0.2">
      <c r="A136" s="63" t="s">
        <v>26</v>
      </c>
      <c r="C136" s="63" t="s">
        <v>535</v>
      </c>
      <c r="F136" s="63" t="s">
        <v>513</v>
      </c>
      <c r="G136" s="63" t="s">
        <v>1782</v>
      </c>
      <c r="H136" s="63" t="s">
        <v>1786</v>
      </c>
      <c r="I136" s="63" t="s">
        <v>1790</v>
      </c>
      <c r="J136" s="63" t="s">
        <v>1794</v>
      </c>
      <c r="K136" s="63" t="s">
        <v>1098</v>
      </c>
      <c r="L136" s="63" t="s">
        <v>536</v>
      </c>
      <c r="N136" s="63" t="s">
        <v>1798</v>
      </c>
      <c r="O136" s="63" t="s">
        <v>1802</v>
      </c>
      <c r="P136" s="63" t="s">
        <v>1099</v>
      </c>
      <c r="Q136" s="63" t="s">
        <v>537</v>
      </c>
      <c r="S136" s="63" t="s">
        <v>1100</v>
      </c>
      <c r="T136" s="63" t="s">
        <v>1101</v>
      </c>
      <c r="U136" s="63" t="s">
        <v>1102</v>
      </c>
      <c r="W136" s="63" t="s">
        <v>538</v>
      </c>
      <c r="X136" s="63" t="s">
        <v>539</v>
      </c>
    </row>
    <row r="137" spans="1:24" x14ac:dyDescent="0.2">
      <c r="A137" s="63" t="s">
        <v>26</v>
      </c>
      <c r="C137" s="63" t="s">
        <v>2244</v>
      </c>
      <c r="F137" s="63" t="s">
        <v>524</v>
      </c>
      <c r="G137" s="63" t="s">
        <v>3180</v>
      </c>
      <c r="H137" s="63" t="s">
        <v>3181</v>
      </c>
      <c r="I137" s="63" t="s">
        <v>3182</v>
      </c>
      <c r="J137" s="63" t="s">
        <v>3183</v>
      </c>
      <c r="K137" s="63" t="s">
        <v>2821</v>
      </c>
      <c r="L137" s="63" t="s">
        <v>2822</v>
      </c>
      <c r="N137" s="63" t="s">
        <v>3184</v>
      </c>
      <c r="O137" s="63" t="s">
        <v>3185</v>
      </c>
      <c r="P137" s="63" t="s">
        <v>2823</v>
      </c>
      <c r="Q137" s="63" t="s">
        <v>2824</v>
      </c>
      <c r="S137" s="63" t="s">
        <v>2825</v>
      </c>
      <c r="T137" s="63" t="s">
        <v>2826</v>
      </c>
      <c r="U137" s="63" t="s">
        <v>2827</v>
      </c>
      <c r="W137" s="63" t="s">
        <v>2828</v>
      </c>
      <c r="X137" s="63" t="s">
        <v>540</v>
      </c>
    </row>
    <row r="138" spans="1:24" x14ac:dyDescent="0.2">
      <c r="A138" s="63" t="s">
        <v>26</v>
      </c>
      <c r="C138" s="63" t="s">
        <v>523</v>
      </c>
      <c r="X138" s="63" t="s">
        <v>1103</v>
      </c>
    </row>
    <row r="139" spans="1:24" x14ac:dyDescent="0.2">
      <c r="A139" s="63" t="s">
        <v>26</v>
      </c>
      <c r="C139" s="63" t="s">
        <v>542</v>
      </c>
      <c r="H139" s="63" t="s">
        <v>2829</v>
      </c>
      <c r="I139" s="63" t="s">
        <v>2830</v>
      </c>
      <c r="J139" s="63" t="s">
        <v>2831</v>
      </c>
      <c r="K139" s="63" t="s">
        <v>2832</v>
      </c>
      <c r="L139" s="63" t="s">
        <v>2245</v>
      </c>
      <c r="N139" s="63" t="s">
        <v>2833</v>
      </c>
      <c r="O139" s="63" t="s">
        <v>2834</v>
      </c>
      <c r="P139" s="63" t="s">
        <v>2835</v>
      </c>
      <c r="Q139" s="63" t="s">
        <v>2246</v>
      </c>
      <c r="S139" s="63" t="s">
        <v>2836</v>
      </c>
      <c r="T139" s="63" t="s">
        <v>2837</v>
      </c>
      <c r="U139" s="63" t="s">
        <v>2838</v>
      </c>
      <c r="W139" s="63" t="s">
        <v>2247</v>
      </c>
      <c r="X139" s="63" t="s">
        <v>543</v>
      </c>
    </row>
    <row r="140" spans="1:24" x14ac:dyDescent="0.2">
      <c r="A140" s="63" t="s">
        <v>26</v>
      </c>
      <c r="C140" s="63" t="s">
        <v>2248</v>
      </c>
    </row>
    <row r="141" spans="1:24" x14ac:dyDescent="0.2">
      <c r="A141" s="63" t="s">
        <v>26</v>
      </c>
      <c r="C141" s="63" t="s">
        <v>2839</v>
      </c>
      <c r="E141" s="63" t="s">
        <v>482</v>
      </c>
    </row>
    <row r="142" spans="1:24" x14ac:dyDescent="0.2">
      <c r="A142" s="63" t="s">
        <v>26</v>
      </c>
      <c r="C142" s="63" t="s">
        <v>546</v>
      </c>
      <c r="F142" s="63" t="s">
        <v>2840</v>
      </c>
      <c r="G142" s="63" t="s">
        <v>1755</v>
      </c>
      <c r="H142" s="63" t="s">
        <v>1759</v>
      </c>
      <c r="I142" s="63" t="s">
        <v>1763</v>
      </c>
      <c r="J142" s="63" t="s">
        <v>1767</v>
      </c>
      <c r="K142" s="63" t="s">
        <v>548</v>
      </c>
      <c r="L142" s="63" t="s">
        <v>549</v>
      </c>
      <c r="N142" s="63" t="s">
        <v>1771</v>
      </c>
      <c r="O142" s="63" t="s">
        <v>1775</v>
      </c>
      <c r="P142" s="63" t="s">
        <v>550</v>
      </c>
      <c r="Q142" s="63" t="s">
        <v>551</v>
      </c>
      <c r="S142" s="63" t="s">
        <v>552</v>
      </c>
      <c r="T142" s="63" t="s">
        <v>553</v>
      </c>
      <c r="U142" s="63" t="s">
        <v>554</v>
      </c>
      <c r="W142" s="63" t="s">
        <v>555</v>
      </c>
      <c r="X142" s="63" t="s">
        <v>556</v>
      </c>
    </row>
    <row r="143" spans="1:24" x14ac:dyDescent="0.2">
      <c r="A143" s="63" t="s">
        <v>26</v>
      </c>
      <c r="C143" s="63" t="s">
        <v>557</v>
      </c>
      <c r="F143" s="63" t="s">
        <v>489</v>
      </c>
      <c r="G143" s="63" t="s">
        <v>1756</v>
      </c>
      <c r="H143" s="63" t="s">
        <v>1760</v>
      </c>
      <c r="I143" s="63" t="s">
        <v>1764</v>
      </c>
      <c r="J143" s="63" t="s">
        <v>1768</v>
      </c>
      <c r="K143" s="63" t="s">
        <v>559</v>
      </c>
      <c r="L143" s="63" t="s">
        <v>560</v>
      </c>
      <c r="N143" s="63" t="s">
        <v>1772</v>
      </c>
      <c r="O143" s="63" t="s">
        <v>1776</v>
      </c>
      <c r="P143" s="63" t="s">
        <v>561</v>
      </c>
      <c r="Q143" s="63" t="s">
        <v>562</v>
      </c>
      <c r="S143" s="63" t="s">
        <v>563</v>
      </c>
      <c r="T143" s="63" t="s">
        <v>564</v>
      </c>
      <c r="U143" s="63" t="s">
        <v>565</v>
      </c>
      <c r="W143" s="63" t="s">
        <v>566</v>
      </c>
      <c r="X143" s="63" t="s">
        <v>567</v>
      </c>
    </row>
    <row r="144" spans="1:24" x14ac:dyDescent="0.2">
      <c r="A144" s="63" t="s">
        <v>26</v>
      </c>
      <c r="C144" s="63" t="s">
        <v>1104</v>
      </c>
      <c r="F144" s="63" t="s">
        <v>490</v>
      </c>
      <c r="G144" s="63" t="s">
        <v>1757</v>
      </c>
      <c r="H144" s="63" t="s">
        <v>1761</v>
      </c>
      <c r="I144" s="63" t="s">
        <v>1765</v>
      </c>
      <c r="J144" s="63" t="s">
        <v>1769</v>
      </c>
      <c r="K144" s="63" t="s">
        <v>1105</v>
      </c>
      <c r="L144" s="63" t="s">
        <v>1106</v>
      </c>
      <c r="N144" s="63" t="s">
        <v>1773</v>
      </c>
      <c r="O144" s="63" t="s">
        <v>1777</v>
      </c>
      <c r="P144" s="63" t="s">
        <v>1107</v>
      </c>
      <c r="Q144" s="63" t="s">
        <v>1108</v>
      </c>
      <c r="S144" s="63" t="s">
        <v>1109</v>
      </c>
      <c r="T144" s="63" t="s">
        <v>1110</v>
      </c>
      <c r="U144" s="63" t="s">
        <v>1111</v>
      </c>
      <c r="W144" s="63" t="s">
        <v>1112</v>
      </c>
      <c r="X144" s="63" t="s">
        <v>568</v>
      </c>
    </row>
    <row r="145" spans="1:24" x14ac:dyDescent="0.2">
      <c r="A145" s="63" t="s">
        <v>26</v>
      </c>
      <c r="C145" s="63" t="s">
        <v>569</v>
      </c>
      <c r="F145" s="63" t="s">
        <v>492</v>
      </c>
      <c r="G145" s="63" t="s">
        <v>1758</v>
      </c>
      <c r="H145" s="63" t="s">
        <v>1762</v>
      </c>
      <c r="I145" s="63" t="s">
        <v>1766</v>
      </c>
      <c r="J145" s="63" t="s">
        <v>1770</v>
      </c>
      <c r="K145" s="63" t="s">
        <v>1113</v>
      </c>
      <c r="L145" s="63" t="s">
        <v>570</v>
      </c>
      <c r="N145" s="63" t="s">
        <v>1774</v>
      </c>
      <c r="O145" s="63" t="s">
        <v>1778</v>
      </c>
      <c r="P145" s="63" t="s">
        <v>1114</v>
      </c>
      <c r="Q145" s="63" t="s">
        <v>571</v>
      </c>
      <c r="S145" s="63" t="s">
        <v>1115</v>
      </c>
      <c r="T145" s="63" t="s">
        <v>1116</v>
      </c>
      <c r="U145" s="63" t="s">
        <v>1117</v>
      </c>
      <c r="W145" s="63" t="s">
        <v>572</v>
      </c>
      <c r="X145" s="63" t="s">
        <v>573</v>
      </c>
    </row>
    <row r="146" spans="1:24" x14ac:dyDescent="0.2">
      <c r="A146" s="63" t="s">
        <v>26</v>
      </c>
      <c r="C146" s="63" t="s">
        <v>2249</v>
      </c>
      <c r="F146" s="63" t="s">
        <v>498</v>
      </c>
      <c r="G146" s="63" t="s">
        <v>3174</v>
      </c>
      <c r="H146" s="63" t="s">
        <v>3175</v>
      </c>
      <c r="I146" s="63" t="s">
        <v>3176</v>
      </c>
      <c r="J146" s="63" t="s">
        <v>3177</v>
      </c>
      <c r="K146" s="63" t="s">
        <v>2841</v>
      </c>
      <c r="L146" s="63" t="s">
        <v>2842</v>
      </c>
      <c r="N146" s="63" t="s">
        <v>3178</v>
      </c>
      <c r="O146" s="63" t="s">
        <v>3179</v>
      </c>
      <c r="P146" s="63" t="s">
        <v>2843</v>
      </c>
      <c r="Q146" s="63" t="s">
        <v>2844</v>
      </c>
      <c r="S146" s="63" t="s">
        <v>2845</v>
      </c>
      <c r="T146" s="63" t="s">
        <v>2846</v>
      </c>
      <c r="U146" s="63" t="s">
        <v>2847</v>
      </c>
      <c r="W146" s="63" t="s">
        <v>2848</v>
      </c>
      <c r="X146" s="63" t="s">
        <v>574</v>
      </c>
    </row>
    <row r="147" spans="1:24" x14ac:dyDescent="0.2">
      <c r="A147" s="63" t="s">
        <v>26</v>
      </c>
      <c r="C147" s="63" t="s">
        <v>557</v>
      </c>
      <c r="X147" s="63" t="s">
        <v>1118</v>
      </c>
    </row>
    <row r="148" spans="1:24" x14ac:dyDescent="0.2">
      <c r="A148" s="63" t="s">
        <v>26</v>
      </c>
      <c r="C148" s="63" t="s">
        <v>576</v>
      </c>
      <c r="H148" s="63" t="s">
        <v>2849</v>
      </c>
      <c r="I148" s="63" t="s">
        <v>2850</v>
      </c>
      <c r="J148" s="63" t="s">
        <v>2851</v>
      </c>
      <c r="K148" s="63" t="s">
        <v>2852</v>
      </c>
      <c r="L148" s="63" t="s">
        <v>2250</v>
      </c>
      <c r="N148" s="63" t="s">
        <v>2853</v>
      </c>
      <c r="O148" s="63" t="s">
        <v>2854</v>
      </c>
      <c r="P148" s="63" t="s">
        <v>2855</v>
      </c>
      <c r="Q148" s="63" t="s">
        <v>2251</v>
      </c>
      <c r="S148" s="63" t="s">
        <v>2856</v>
      </c>
      <c r="T148" s="63" t="s">
        <v>2857</v>
      </c>
      <c r="U148" s="63" t="s">
        <v>2858</v>
      </c>
      <c r="W148" s="63" t="s">
        <v>2252</v>
      </c>
      <c r="X148" s="63" t="s">
        <v>577</v>
      </c>
    </row>
    <row r="149" spans="1:24" x14ac:dyDescent="0.2">
      <c r="A149" s="63" t="s">
        <v>26</v>
      </c>
      <c r="C149" s="63" t="s">
        <v>2253</v>
      </c>
    </row>
    <row r="150" spans="1:24" x14ac:dyDescent="0.2">
      <c r="A150" s="63" t="s">
        <v>26</v>
      </c>
      <c r="C150" s="63" t="s">
        <v>2859</v>
      </c>
      <c r="E150" s="63" t="s">
        <v>462</v>
      </c>
    </row>
    <row r="151" spans="1:24" x14ac:dyDescent="0.2">
      <c r="A151" s="63" t="s">
        <v>26</v>
      </c>
      <c r="C151" s="63" t="s">
        <v>580</v>
      </c>
      <c r="F151" s="63" t="s">
        <v>2860</v>
      </c>
      <c r="G151" s="63" t="s">
        <v>1731</v>
      </c>
      <c r="H151" s="63" t="s">
        <v>1735</v>
      </c>
      <c r="I151" s="63" t="s">
        <v>1739</v>
      </c>
      <c r="J151" s="63" t="s">
        <v>1743</v>
      </c>
      <c r="K151" s="63" t="s">
        <v>582</v>
      </c>
      <c r="L151" s="63" t="s">
        <v>583</v>
      </c>
      <c r="N151" s="63" t="s">
        <v>1747</v>
      </c>
      <c r="O151" s="63" t="s">
        <v>1751</v>
      </c>
      <c r="P151" s="63" t="s">
        <v>584</v>
      </c>
      <c r="Q151" s="63" t="s">
        <v>585</v>
      </c>
      <c r="S151" s="63" t="s">
        <v>586</v>
      </c>
      <c r="T151" s="63" t="s">
        <v>587</v>
      </c>
      <c r="U151" s="63" t="s">
        <v>588</v>
      </c>
      <c r="W151" s="63" t="s">
        <v>589</v>
      </c>
      <c r="X151" s="63" t="s">
        <v>590</v>
      </c>
    </row>
    <row r="152" spans="1:24" x14ac:dyDescent="0.2">
      <c r="A152" s="63" t="s">
        <v>26</v>
      </c>
      <c r="C152" s="63" t="s">
        <v>591</v>
      </c>
      <c r="F152" s="63" t="s">
        <v>464</v>
      </c>
      <c r="G152" s="63" t="s">
        <v>1732</v>
      </c>
      <c r="H152" s="63" t="s">
        <v>1736</v>
      </c>
      <c r="I152" s="63" t="s">
        <v>1740</v>
      </c>
      <c r="J152" s="63" t="s">
        <v>1744</v>
      </c>
      <c r="K152" s="63" t="s">
        <v>593</v>
      </c>
      <c r="L152" s="63" t="s">
        <v>594</v>
      </c>
      <c r="N152" s="63" t="s">
        <v>1748</v>
      </c>
      <c r="O152" s="63" t="s">
        <v>1752</v>
      </c>
      <c r="P152" s="63" t="s">
        <v>595</v>
      </c>
      <c r="Q152" s="63" t="s">
        <v>596</v>
      </c>
      <c r="S152" s="63" t="s">
        <v>597</v>
      </c>
      <c r="T152" s="63" t="s">
        <v>598</v>
      </c>
      <c r="U152" s="63" t="s">
        <v>599</v>
      </c>
      <c r="W152" s="63" t="s">
        <v>600</v>
      </c>
      <c r="X152" s="63" t="s">
        <v>601</v>
      </c>
    </row>
    <row r="153" spans="1:24" x14ac:dyDescent="0.2">
      <c r="A153" s="63" t="s">
        <v>26</v>
      </c>
      <c r="C153" s="63" t="s">
        <v>1119</v>
      </c>
      <c r="F153" s="63" t="s">
        <v>465</v>
      </c>
      <c r="G153" s="63" t="s">
        <v>1733</v>
      </c>
      <c r="H153" s="63" t="s">
        <v>1737</v>
      </c>
      <c r="I153" s="63" t="s">
        <v>1741</v>
      </c>
      <c r="J153" s="63" t="s">
        <v>1745</v>
      </c>
      <c r="K153" s="63" t="s">
        <v>1120</v>
      </c>
      <c r="L153" s="63" t="s">
        <v>1121</v>
      </c>
      <c r="N153" s="63" t="s">
        <v>1749</v>
      </c>
      <c r="O153" s="63" t="s">
        <v>1753</v>
      </c>
      <c r="P153" s="63" t="s">
        <v>1122</v>
      </c>
      <c r="Q153" s="63" t="s">
        <v>1123</v>
      </c>
      <c r="S153" s="63" t="s">
        <v>1124</v>
      </c>
      <c r="T153" s="63" t="s">
        <v>1125</v>
      </c>
      <c r="U153" s="63" t="s">
        <v>1126</v>
      </c>
      <c r="W153" s="63" t="s">
        <v>1127</v>
      </c>
      <c r="X153" s="63" t="s">
        <v>602</v>
      </c>
    </row>
    <row r="154" spans="1:24" x14ac:dyDescent="0.2">
      <c r="A154" s="63" t="s">
        <v>26</v>
      </c>
      <c r="C154" s="63" t="s">
        <v>603</v>
      </c>
      <c r="F154" s="63" t="s">
        <v>467</v>
      </c>
      <c r="G154" s="63" t="s">
        <v>1734</v>
      </c>
      <c r="H154" s="63" t="s">
        <v>1738</v>
      </c>
      <c r="I154" s="63" t="s">
        <v>1742</v>
      </c>
      <c r="J154" s="63" t="s">
        <v>1746</v>
      </c>
      <c r="K154" s="63" t="s">
        <v>1128</v>
      </c>
      <c r="L154" s="63" t="s">
        <v>604</v>
      </c>
      <c r="N154" s="63" t="s">
        <v>1750</v>
      </c>
      <c r="O154" s="63" t="s">
        <v>1754</v>
      </c>
      <c r="P154" s="63" t="s">
        <v>1129</v>
      </c>
      <c r="Q154" s="63" t="s">
        <v>605</v>
      </c>
      <c r="S154" s="63" t="s">
        <v>1130</v>
      </c>
      <c r="T154" s="63" t="s">
        <v>1131</v>
      </c>
      <c r="U154" s="63" t="s">
        <v>1132</v>
      </c>
      <c r="W154" s="63" t="s">
        <v>606</v>
      </c>
      <c r="X154" s="63" t="s">
        <v>607</v>
      </c>
    </row>
    <row r="155" spans="1:24" x14ac:dyDescent="0.2">
      <c r="A155" s="63" t="s">
        <v>26</v>
      </c>
      <c r="C155" s="63" t="s">
        <v>2254</v>
      </c>
      <c r="F155" s="63" t="s">
        <v>473</v>
      </c>
      <c r="G155" s="63" t="s">
        <v>3168</v>
      </c>
      <c r="H155" s="63" t="s">
        <v>3169</v>
      </c>
      <c r="I155" s="63" t="s">
        <v>3170</v>
      </c>
      <c r="J155" s="63" t="s">
        <v>3171</v>
      </c>
      <c r="K155" s="63" t="s">
        <v>2861</v>
      </c>
      <c r="L155" s="63" t="s">
        <v>2862</v>
      </c>
      <c r="N155" s="63" t="s">
        <v>3172</v>
      </c>
      <c r="O155" s="63" t="s">
        <v>3173</v>
      </c>
      <c r="P155" s="63" t="s">
        <v>2863</v>
      </c>
      <c r="Q155" s="63" t="s">
        <v>2864</v>
      </c>
      <c r="S155" s="63" t="s">
        <v>2865</v>
      </c>
      <c r="T155" s="63" t="s">
        <v>2866</v>
      </c>
      <c r="U155" s="63" t="s">
        <v>2867</v>
      </c>
      <c r="W155" s="63" t="s">
        <v>2868</v>
      </c>
      <c r="X155" s="63" t="s">
        <v>608</v>
      </c>
    </row>
    <row r="156" spans="1:24" x14ac:dyDescent="0.2">
      <c r="A156" s="63" t="s">
        <v>26</v>
      </c>
      <c r="C156" s="63" t="s">
        <v>591</v>
      </c>
      <c r="X156" s="63" t="s">
        <v>1133</v>
      </c>
    </row>
    <row r="157" spans="1:24" x14ac:dyDescent="0.2">
      <c r="A157" s="63" t="s">
        <v>26</v>
      </c>
      <c r="C157" s="63" t="s">
        <v>610</v>
      </c>
      <c r="H157" s="63" t="s">
        <v>2869</v>
      </c>
      <c r="I157" s="63" t="s">
        <v>2870</v>
      </c>
      <c r="J157" s="63" t="s">
        <v>2871</v>
      </c>
      <c r="K157" s="63" t="s">
        <v>2872</v>
      </c>
      <c r="L157" s="63" t="s">
        <v>2255</v>
      </c>
      <c r="N157" s="63" t="s">
        <v>2873</v>
      </c>
      <c r="O157" s="63" t="s">
        <v>2874</v>
      </c>
      <c r="P157" s="63" t="s">
        <v>2875</v>
      </c>
      <c r="Q157" s="63" t="s">
        <v>2256</v>
      </c>
      <c r="S157" s="63" t="s">
        <v>2876</v>
      </c>
      <c r="T157" s="63" t="s">
        <v>2877</v>
      </c>
      <c r="U157" s="63" t="s">
        <v>2878</v>
      </c>
      <c r="W157" s="63" t="s">
        <v>2257</v>
      </c>
      <c r="X157" s="63" t="s">
        <v>611</v>
      </c>
    </row>
    <row r="158" spans="1:24" x14ac:dyDescent="0.2">
      <c r="A158" s="63" t="s">
        <v>26</v>
      </c>
      <c r="C158" s="63" t="s">
        <v>2258</v>
      </c>
    </row>
    <row r="159" spans="1:24" x14ac:dyDescent="0.2">
      <c r="A159" s="63" t="s">
        <v>26</v>
      </c>
      <c r="C159" s="63" t="s">
        <v>2879</v>
      </c>
      <c r="E159" s="63" t="s">
        <v>431</v>
      </c>
    </row>
    <row r="160" spans="1:24" x14ac:dyDescent="0.2">
      <c r="A160" s="63" t="s">
        <v>26</v>
      </c>
      <c r="C160" s="63" t="s">
        <v>614</v>
      </c>
      <c r="F160" s="63" t="s">
        <v>2880</v>
      </c>
      <c r="G160" s="63" t="s">
        <v>2495</v>
      </c>
      <c r="H160" s="63" t="s">
        <v>2497</v>
      </c>
      <c r="I160" s="63" t="s">
        <v>2499</v>
      </c>
      <c r="J160" s="63" t="s">
        <v>2501</v>
      </c>
      <c r="K160" s="63" t="s">
        <v>2259</v>
      </c>
      <c r="L160" s="63" t="s">
        <v>2260</v>
      </c>
      <c r="N160" s="63" t="s">
        <v>2503</v>
      </c>
      <c r="O160" s="63" t="s">
        <v>2505</v>
      </c>
      <c r="P160" s="63" t="s">
        <v>2261</v>
      </c>
      <c r="Q160" s="63" t="s">
        <v>2262</v>
      </c>
      <c r="S160" s="63" t="s">
        <v>2263</v>
      </c>
      <c r="T160" s="63" t="s">
        <v>2264</v>
      </c>
      <c r="U160" s="63" t="s">
        <v>2265</v>
      </c>
      <c r="W160" s="63" t="s">
        <v>2266</v>
      </c>
      <c r="X160" s="63" t="s">
        <v>616</v>
      </c>
    </row>
    <row r="161" spans="1:24" x14ac:dyDescent="0.2">
      <c r="A161" s="63" t="s">
        <v>26</v>
      </c>
      <c r="C161" s="63" t="s">
        <v>617</v>
      </c>
      <c r="F161" s="63" t="s">
        <v>434</v>
      </c>
      <c r="G161" s="63" t="s">
        <v>2496</v>
      </c>
      <c r="H161" s="63" t="s">
        <v>2498</v>
      </c>
      <c r="I161" s="63" t="s">
        <v>2500</v>
      </c>
      <c r="J161" s="63" t="s">
        <v>2502</v>
      </c>
      <c r="K161" s="63" t="s">
        <v>2267</v>
      </c>
      <c r="L161" s="63" t="s">
        <v>619</v>
      </c>
      <c r="N161" s="63" t="s">
        <v>2504</v>
      </c>
      <c r="O161" s="63" t="s">
        <v>2506</v>
      </c>
      <c r="P161" s="63" t="s">
        <v>2268</v>
      </c>
      <c r="Q161" s="63" t="s">
        <v>620</v>
      </c>
      <c r="S161" s="63" t="s">
        <v>2269</v>
      </c>
      <c r="T161" s="63" t="s">
        <v>2270</v>
      </c>
      <c r="U161" s="63" t="s">
        <v>2271</v>
      </c>
      <c r="W161" s="63" t="s">
        <v>621</v>
      </c>
      <c r="X161" s="63" t="s">
        <v>622</v>
      </c>
    </row>
    <row r="162" spans="1:24" x14ac:dyDescent="0.2">
      <c r="A162" s="63" t="s">
        <v>26</v>
      </c>
      <c r="C162" s="63" t="s">
        <v>1134</v>
      </c>
      <c r="F162" s="63" t="s">
        <v>435</v>
      </c>
      <c r="G162" s="63" t="s">
        <v>3156</v>
      </c>
      <c r="H162" s="63" t="s">
        <v>3158</v>
      </c>
      <c r="I162" s="63" t="s">
        <v>3160</v>
      </c>
      <c r="J162" s="63" t="s">
        <v>3162</v>
      </c>
      <c r="K162" s="63" t="s">
        <v>2881</v>
      </c>
      <c r="L162" s="63" t="s">
        <v>2882</v>
      </c>
      <c r="N162" s="63" t="s">
        <v>3164</v>
      </c>
      <c r="O162" s="63" t="s">
        <v>3166</v>
      </c>
      <c r="P162" s="63" t="s">
        <v>2883</v>
      </c>
      <c r="Q162" s="63" t="s">
        <v>2884</v>
      </c>
      <c r="S162" s="63" t="s">
        <v>2885</v>
      </c>
      <c r="T162" s="63" t="s">
        <v>2886</v>
      </c>
      <c r="U162" s="63" t="s">
        <v>2887</v>
      </c>
      <c r="W162" s="63" t="s">
        <v>2888</v>
      </c>
      <c r="X162" s="63" t="s">
        <v>623</v>
      </c>
    </row>
    <row r="163" spans="1:24" x14ac:dyDescent="0.2">
      <c r="A163" s="63" t="s">
        <v>26</v>
      </c>
      <c r="C163" s="63" t="s">
        <v>2272</v>
      </c>
      <c r="F163" s="63" t="s">
        <v>437</v>
      </c>
      <c r="G163" s="63" t="s">
        <v>3157</v>
      </c>
      <c r="H163" s="63" t="s">
        <v>3159</v>
      </c>
      <c r="I163" s="63" t="s">
        <v>3161</v>
      </c>
      <c r="J163" s="63" t="s">
        <v>3163</v>
      </c>
      <c r="K163" s="63" t="s">
        <v>2889</v>
      </c>
      <c r="L163" s="63" t="s">
        <v>2273</v>
      </c>
      <c r="N163" s="63" t="s">
        <v>3165</v>
      </c>
      <c r="O163" s="63" t="s">
        <v>3167</v>
      </c>
      <c r="P163" s="63" t="s">
        <v>2890</v>
      </c>
      <c r="Q163" s="63" t="s">
        <v>2274</v>
      </c>
      <c r="S163" s="63" t="s">
        <v>2891</v>
      </c>
      <c r="T163" s="63" t="s">
        <v>2892</v>
      </c>
      <c r="U163" s="63" t="s">
        <v>2893</v>
      </c>
      <c r="W163" s="63" t="s">
        <v>2275</v>
      </c>
      <c r="X163" s="63" t="s">
        <v>2276</v>
      </c>
    </row>
    <row r="164" spans="1:24" x14ac:dyDescent="0.2">
      <c r="A164" s="63" t="s">
        <v>26</v>
      </c>
      <c r="C164" s="63" t="s">
        <v>624</v>
      </c>
      <c r="F164" s="63" t="s">
        <v>448</v>
      </c>
      <c r="G164" s="63" t="s">
        <v>1725</v>
      </c>
      <c r="H164" s="63" t="s">
        <v>1726</v>
      </c>
      <c r="I164" s="63" t="s">
        <v>1727</v>
      </c>
      <c r="J164" s="63" t="s">
        <v>1728</v>
      </c>
      <c r="K164" s="63" t="s">
        <v>1135</v>
      </c>
      <c r="L164" s="63" t="s">
        <v>1136</v>
      </c>
      <c r="N164" s="63" t="s">
        <v>1729</v>
      </c>
      <c r="O164" s="63" t="s">
        <v>1730</v>
      </c>
      <c r="P164" s="63" t="s">
        <v>1137</v>
      </c>
      <c r="Q164" s="63" t="s">
        <v>1138</v>
      </c>
      <c r="S164" s="63" t="s">
        <v>1139</v>
      </c>
      <c r="T164" s="63" t="s">
        <v>1140</v>
      </c>
      <c r="U164" s="63" t="s">
        <v>1141</v>
      </c>
      <c r="W164" s="63" t="s">
        <v>1142</v>
      </c>
      <c r="X164" s="63" t="s">
        <v>625</v>
      </c>
    </row>
    <row r="165" spans="1:24" x14ac:dyDescent="0.2">
      <c r="A165" s="63" t="s">
        <v>26</v>
      </c>
      <c r="C165" s="63" t="s">
        <v>617</v>
      </c>
      <c r="X165" s="63" t="s">
        <v>1143</v>
      </c>
    </row>
    <row r="166" spans="1:24" x14ac:dyDescent="0.2">
      <c r="A166" s="63" t="s">
        <v>26</v>
      </c>
      <c r="C166" s="63" t="s">
        <v>627</v>
      </c>
      <c r="H166" s="63" t="s">
        <v>2894</v>
      </c>
      <c r="I166" s="63" t="s">
        <v>2895</v>
      </c>
      <c r="J166" s="63" t="s">
        <v>2896</v>
      </c>
      <c r="K166" s="63" t="s">
        <v>2897</v>
      </c>
      <c r="L166" s="63" t="s">
        <v>628</v>
      </c>
      <c r="N166" s="63" t="s">
        <v>2898</v>
      </c>
      <c r="O166" s="63" t="s">
        <v>2899</v>
      </c>
      <c r="P166" s="63" t="s">
        <v>2900</v>
      </c>
      <c r="Q166" s="63" t="s">
        <v>629</v>
      </c>
      <c r="S166" s="63" t="s">
        <v>2901</v>
      </c>
      <c r="T166" s="63" t="s">
        <v>2902</v>
      </c>
      <c r="U166" s="63" t="s">
        <v>2903</v>
      </c>
      <c r="W166" s="63" t="s">
        <v>630</v>
      </c>
      <c r="X166" s="63" t="s">
        <v>631</v>
      </c>
    </row>
    <row r="167" spans="1:24" x14ac:dyDescent="0.2">
      <c r="A167" s="63" t="s">
        <v>26</v>
      </c>
      <c r="C167" s="63" t="s">
        <v>632</v>
      </c>
    </row>
    <row r="168" spans="1:24" x14ac:dyDescent="0.2">
      <c r="A168" s="63" t="s">
        <v>26</v>
      </c>
      <c r="C168" s="63" t="s">
        <v>2904</v>
      </c>
      <c r="E168" s="63" t="s">
        <v>369</v>
      </c>
    </row>
    <row r="169" spans="1:24" x14ac:dyDescent="0.2">
      <c r="A169" s="63" t="s">
        <v>26</v>
      </c>
      <c r="C169" s="63" t="s">
        <v>2277</v>
      </c>
      <c r="F169" s="63" t="s">
        <v>2905</v>
      </c>
      <c r="G169" s="63" t="s">
        <v>2447</v>
      </c>
      <c r="H169" s="63" t="s">
        <v>2455</v>
      </c>
      <c r="I169" s="63" t="s">
        <v>2463</v>
      </c>
      <c r="J169" s="63" t="s">
        <v>2471</v>
      </c>
      <c r="K169" s="63" t="s">
        <v>2278</v>
      </c>
      <c r="L169" s="63" t="s">
        <v>2279</v>
      </c>
      <c r="N169" s="63" t="s">
        <v>2479</v>
      </c>
      <c r="O169" s="63" t="s">
        <v>2487</v>
      </c>
      <c r="P169" s="63" t="s">
        <v>2280</v>
      </c>
      <c r="Q169" s="63" t="s">
        <v>2281</v>
      </c>
      <c r="S169" s="63" t="s">
        <v>2282</v>
      </c>
      <c r="T169" s="63" t="s">
        <v>2283</v>
      </c>
      <c r="U169" s="63" t="s">
        <v>2284</v>
      </c>
      <c r="W169" s="63" t="s">
        <v>2285</v>
      </c>
      <c r="X169" s="63" t="s">
        <v>636</v>
      </c>
    </row>
    <row r="170" spans="1:24" x14ac:dyDescent="0.2">
      <c r="A170" s="63" t="s">
        <v>26</v>
      </c>
      <c r="C170" s="63" t="s">
        <v>637</v>
      </c>
      <c r="F170" s="63" t="s">
        <v>381</v>
      </c>
      <c r="G170" s="63" t="s">
        <v>2448</v>
      </c>
      <c r="H170" s="63" t="s">
        <v>2456</v>
      </c>
      <c r="I170" s="63" t="s">
        <v>2464</v>
      </c>
      <c r="J170" s="63" t="s">
        <v>2472</v>
      </c>
      <c r="K170" s="63" t="s">
        <v>2286</v>
      </c>
      <c r="L170" s="63" t="s">
        <v>639</v>
      </c>
      <c r="N170" s="63" t="s">
        <v>2480</v>
      </c>
      <c r="O170" s="63" t="s">
        <v>2488</v>
      </c>
      <c r="P170" s="63" t="s">
        <v>2287</v>
      </c>
      <c r="Q170" s="63" t="s">
        <v>640</v>
      </c>
      <c r="S170" s="63" t="s">
        <v>2288</v>
      </c>
      <c r="T170" s="63" t="s">
        <v>2289</v>
      </c>
      <c r="U170" s="63" t="s">
        <v>2290</v>
      </c>
      <c r="W170" s="63" t="s">
        <v>641</v>
      </c>
      <c r="X170" s="63" t="s">
        <v>642</v>
      </c>
    </row>
    <row r="171" spans="1:24" x14ac:dyDescent="0.2">
      <c r="A171" s="63" t="s">
        <v>26</v>
      </c>
      <c r="C171" s="63" t="s">
        <v>643</v>
      </c>
      <c r="F171" s="63" t="s">
        <v>392</v>
      </c>
      <c r="G171" s="63" t="s">
        <v>2449</v>
      </c>
      <c r="H171" s="63" t="s">
        <v>2457</v>
      </c>
      <c r="I171" s="63" t="s">
        <v>2465</v>
      </c>
      <c r="J171" s="63" t="s">
        <v>2473</v>
      </c>
      <c r="K171" s="63" t="s">
        <v>2291</v>
      </c>
      <c r="L171" s="63" t="s">
        <v>2292</v>
      </c>
      <c r="N171" s="63" t="s">
        <v>2481</v>
      </c>
      <c r="O171" s="63" t="s">
        <v>2489</v>
      </c>
      <c r="P171" s="63" t="s">
        <v>2293</v>
      </c>
      <c r="Q171" s="63" t="s">
        <v>2294</v>
      </c>
      <c r="S171" s="63" t="s">
        <v>2295</v>
      </c>
      <c r="T171" s="63" t="s">
        <v>2296</v>
      </c>
      <c r="U171" s="63" t="s">
        <v>2297</v>
      </c>
      <c r="W171" s="63" t="s">
        <v>2298</v>
      </c>
      <c r="X171" s="63" t="s">
        <v>645</v>
      </c>
    </row>
    <row r="172" spans="1:24" x14ac:dyDescent="0.2">
      <c r="A172" s="63" t="s">
        <v>26</v>
      </c>
      <c r="C172" s="63" t="s">
        <v>2299</v>
      </c>
      <c r="F172" s="63" t="s">
        <v>402</v>
      </c>
      <c r="G172" s="63" t="s">
        <v>2450</v>
      </c>
      <c r="H172" s="63" t="s">
        <v>2458</v>
      </c>
      <c r="I172" s="63" t="s">
        <v>2466</v>
      </c>
      <c r="J172" s="63" t="s">
        <v>2474</v>
      </c>
      <c r="K172" s="63" t="s">
        <v>2300</v>
      </c>
      <c r="L172" s="63" t="s">
        <v>2301</v>
      </c>
      <c r="N172" s="63" t="s">
        <v>2482</v>
      </c>
      <c r="O172" s="63" t="s">
        <v>2490</v>
      </c>
      <c r="P172" s="63" t="s">
        <v>2302</v>
      </c>
      <c r="Q172" s="63" t="s">
        <v>2303</v>
      </c>
      <c r="S172" s="63" t="s">
        <v>2304</v>
      </c>
      <c r="T172" s="63" t="s">
        <v>2305</v>
      </c>
      <c r="U172" s="63" t="s">
        <v>2306</v>
      </c>
      <c r="W172" s="63" t="s">
        <v>2307</v>
      </c>
      <c r="X172" s="63" t="s">
        <v>2308</v>
      </c>
    </row>
    <row r="173" spans="1:24" x14ac:dyDescent="0.2">
      <c r="A173" s="63" t="s">
        <v>26</v>
      </c>
      <c r="C173" s="63" t="s">
        <v>647</v>
      </c>
      <c r="F173" s="63" t="s">
        <v>405</v>
      </c>
      <c r="G173" s="63" t="s">
        <v>1719</v>
      </c>
      <c r="H173" s="63" t="s">
        <v>1720</v>
      </c>
      <c r="I173" s="63" t="s">
        <v>1721</v>
      </c>
      <c r="J173" s="63" t="s">
        <v>1722</v>
      </c>
      <c r="K173" s="63" t="s">
        <v>649</v>
      </c>
      <c r="L173" s="63" t="s">
        <v>650</v>
      </c>
      <c r="N173" s="63" t="s">
        <v>1723</v>
      </c>
      <c r="O173" s="63" t="s">
        <v>1724</v>
      </c>
      <c r="P173" s="63" t="s">
        <v>651</v>
      </c>
      <c r="Q173" s="63" t="s">
        <v>652</v>
      </c>
      <c r="S173" s="63" t="s">
        <v>653</v>
      </c>
      <c r="T173" s="63" t="s">
        <v>654</v>
      </c>
      <c r="U173" s="63" t="s">
        <v>655</v>
      </c>
      <c r="W173" s="63" t="s">
        <v>656</v>
      </c>
      <c r="X173" s="63" t="s">
        <v>657</v>
      </c>
    </row>
    <row r="174" spans="1:24" x14ac:dyDescent="0.2">
      <c r="A174" s="63" t="s">
        <v>26</v>
      </c>
      <c r="C174" s="63" t="s">
        <v>637</v>
      </c>
      <c r="X174" s="63" t="s">
        <v>659</v>
      </c>
    </row>
    <row r="175" spans="1:24" x14ac:dyDescent="0.2">
      <c r="A175" s="63" t="s">
        <v>26</v>
      </c>
      <c r="C175" s="63" t="s">
        <v>660</v>
      </c>
      <c r="H175" s="63" t="s">
        <v>2906</v>
      </c>
      <c r="I175" s="63" t="s">
        <v>2907</v>
      </c>
      <c r="J175" s="63" t="s">
        <v>2908</v>
      </c>
      <c r="K175" s="63" t="s">
        <v>2909</v>
      </c>
      <c r="L175" s="63" t="s">
        <v>662</v>
      </c>
      <c r="N175" s="63" t="s">
        <v>2910</v>
      </c>
      <c r="O175" s="63" t="s">
        <v>2911</v>
      </c>
      <c r="P175" s="63" t="s">
        <v>2912</v>
      </c>
      <c r="Q175" s="63" t="s">
        <v>663</v>
      </c>
      <c r="S175" s="63" t="s">
        <v>2913</v>
      </c>
      <c r="T175" s="63" t="s">
        <v>2914</v>
      </c>
      <c r="U175" s="63" t="s">
        <v>2915</v>
      </c>
      <c r="W175" s="63" t="s">
        <v>664</v>
      </c>
      <c r="X175" s="63" t="s">
        <v>665</v>
      </c>
    </row>
    <row r="176" spans="1:24" x14ac:dyDescent="0.2">
      <c r="A176" s="63" t="s">
        <v>26</v>
      </c>
      <c r="C176" s="63" t="s">
        <v>666</v>
      </c>
    </row>
    <row r="177" spans="1:24" x14ac:dyDescent="0.2">
      <c r="A177" s="63" t="s">
        <v>26</v>
      </c>
      <c r="C177" s="63" t="s">
        <v>2916</v>
      </c>
      <c r="E177" s="63" t="s">
        <v>355</v>
      </c>
    </row>
    <row r="178" spans="1:24" x14ac:dyDescent="0.2">
      <c r="A178" s="63" t="s">
        <v>26</v>
      </c>
      <c r="C178" s="63" t="s">
        <v>2309</v>
      </c>
      <c r="F178" s="63" t="s">
        <v>2917</v>
      </c>
      <c r="G178" s="63" t="s">
        <v>2451</v>
      </c>
      <c r="H178" s="63" t="s">
        <v>2459</v>
      </c>
      <c r="I178" s="63" t="s">
        <v>2467</v>
      </c>
      <c r="J178" s="63" t="s">
        <v>2475</v>
      </c>
      <c r="K178" s="63" t="s">
        <v>2310</v>
      </c>
      <c r="L178" s="63" t="s">
        <v>2311</v>
      </c>
      <c r="N178" s="63" t="s">
        <v>2483</v>
      </c>
      <c r="O178" s="63" t="s">
        <v>2491</v>
      </c>
      <c r="P178" s="63" t="s">
        <v>2312</v>
      </c>
      <c r="Q178" s="63" t="s">
        <v>2313</v>
      </c>
      <c r="S178" s="63" t="s">
        <v>2314</v>
      </c>
      <c r="T178" s="63" t="s">
        <v>2315</v>
      </c>
      <c r="U178" s="63" t="s">
        <v>2316</v>
      </c>
      <c r="W178" s="63" t="s">
        <v>2317</v>
      </c>
      <c r="X178" s="63" t="s">
        <v>670</v>
      </c>
    </row>
    <row r="179" spans="1:24" x14ac:dyDescent="0.2">
      <c r="A179" s="63" t="s">
        <v>26</v>
      </c>
      <c r="C179" s="63" t="s">
        <v>671</v>
      </c>
      <c r="F179" s="63" t="s">
        <v>357</v>
      </c>
      <c r="G179" s="63" t="s">
        <v>2452</v>
      </c>
      <c r="H179" s="63" t="s">
        <v>2460</v>
      </c>
      <c r="I179" s="63" t="s">
        <v>2468</v>
      </c>
      <c r="J179" s="63" t="s">
        <v>2476</v>
      </c>
      <c r="K179" s="63" t="s">
        <v>2318</v>
      </c>
      <c r="L179" s="63" t="s">
        <v>673</v>
      </c>
      <c r="N179" s="63" t="s">
        <v>2484</v>
      </c>
      <c r="O179" s="63" t="s">
        <v>2492</v>
      </c>
      <c r="P179" s="63" t="s">
        <v>2319</v>
      </c>
      <c r="Q179" s="63" t="s">
        <v>674</v>
      </c>
      <c r="S179" s="63" t="s">
        <v>2320</v>
      </c>
      <c r="T179" s="63" t="s">
        <v>2321</v>
      </c>
      <c r="U179" s="63" t="s">
        <v>2322</v>
      </c>
      <c r="W179" s="63" t="s">
        <v>675</v>
      </c>
      <c r="X179" s="63" t="s">
        <v>676</v>
      </c>
    </row>
    <row r="180" spans="1:24" x14ac:dyDescent="0.2">
      <c r="A180" s="63" t="s">
        <v>26</v>
      </c>
      <c r="C180" s="63" t="s">
        <v>677</v>
      </c>
      <c r="F180" s="63" t="s">
        <v>358</v>
      </c>
      <c r="G180" s="63" t="s">
        <v>2453</v>
      </c>
      <c r="H180" s="63" t="s">
        <v>2461</v>
      </c>
      <c r="I180" s="63" t="s">
        <v>2469</v>
      </c>
      <c r="J180" s="63" t="s">
        <v>2477</v>
      </c>
      <c r="K180" s="63" t="s">
        <v>2323</v>
      </c>
      <c r="L180" s="63" t="s">
        <v>2324</v>
      </c>
      <c r="N180" s="63" t="s">
        <v>2485</v>
      </c>
      <c r="O180" s="63" t="s">
        <v>2493</v>
      </c>
      <c r="P180" s="63" t="s">
        <v>2325</v>
      </c>
      <c r="Q180" s="63" t="s">
        <v>2326</v>
      </c>
      <c r="S180" s="63" t="s">
        <v>2327</v>
      </c>
      <c r="T180" s="63" t="s">
        <v>2328</v>
      </c>
      <c r="U180" s="63" t="s">
        <v>2329</v>
      </c>
      <c r="W180" s="63" t="s">
        <v>2330</v>
      </c>
      <c r="X180" s="63" t="s">
        <v>679</v>
      </c>
    </row>
    <row r="181" spans="1:24" x14ac:dyDescent="0.2">
      <c r="A181" s="63" t="s">
        <v>26</v>
      </c>
      <c r="C181" s="63" t="s">
        <v>2331</v>
      </c>
      <c r="F181" s="63" t="s">
        <v>361</v>
      </c>
      <c r="G181" s="63" t="s">
        <v>2454</v>
      </c>
      <c r="H181" s="63" t="s">
        <v>2462</v>
      </c>
      <c r="I181" s="63" t="s">
        <v>2470</v>
      </c>
      <c r="J181" s="63" t="s">
        <v>2478</v>
      </c>
      <c r="K181" s="63" t="s">
        <v>2332</v>
      </c>
      <c r="L181" s="63" t="s">
        <v>2333</v>
      </c>
      <c r="N181" s="63" t="s">
        <v>2486</v>
      </c>
      <c r="O181" s="63" t="s">
        <v>2494</v>
      </c>
      <c r="P181" s="63" t="s">
        <v>2334</v>
      </c>
      <c r="Q181" s="63" t="s">
        <v>2335</v>
      </c>
      <c r="S181" s="63" t="s">
        <v>2336</v>
      </c>
      <c r="T181" s="63" t="s">
        <v>2337</v>
      </c>
      <c r="U181" s="63" t="s">
        <v>2338</v>
      </c>
      <c r="W181" s="63" t="s">
        <v>2339</v>
      </c>
      <c r="X181" s="63" t="s">
        <v>2340</v>
      </c>
    </row>
    <row r="182" spans="1:24" x14ac:dyDescent="0.2">
      <c r="A182" s="63" t="s">
        <v>26</v>
      </c>
      <c r="C182" s="63" t="s">
        <v>671</v>
      </c>
      <c r="X182" s="63" t="s">
        <v>682</v>
      </c>
    </row>
    <row r="183" spans="1:24" x14ac:dyDescent="0.2">
      <c r="A183" s="63" t="s">
        <v>26</v>
      </c>
      <c r="C183" s="63" t="s">
        <v>683</v>
      </c>
      <c r="H183" s="63" t="s">
        <v>2918</v>
      </c>
      <c r="I183" s="63" t="s">
        <v>2919</v>
      </c>
      <c r="J183" s="63" t="s">
        <v>2920</v>
      </c>
      <c r="K183" s="63" t="s">
        <v>2921</v>
      </c>
      <c r="L183" s="63" t="s">
        <v>685</v>
      </c>
      <c r="N183" s="63" t="s">
        <v>2922</v>
      </c>
      <c r="O183" s="63" t="s">
        <v>2923</v>
      </c>
      <c r="P183" s="63" t="s">
        <v>2924</v>
      </c>
      <c r="Q183" s="63" t="s">
        <v>686</v>
      </c>
      <c r="S183" s="63" t="s">
        <v>2925</v>
      </c>
      <c r="T183" s="63" t="s">
        <v>2926</v>
      </c>
      <c r="U183" s="63" t="s">
        <v>2927</v>
      </c>
      <c r="W183" s="63" t="s">
        <v>687</v>
      </c>
      <c r="X183" s="63" t="s">
        <v>688</v>
      </c>
    </row>
    <row r="184" spans="1:24" x14ac:dyDescent="0.2">
      <c r="A184" s="63" t="s">
        <v>26</v>
      </c>
      <c r="C184" s="63" t="s">
        <v>689</v>
      </c>
    </row>
    <row r="185" spans="1:24" x14ac:dyDescent="0.2">
      <c r="A185" s="63" t="s">
        <v>26</v>
      </c>
      <c r="C185" s="63" t="s">
        <v>2928</v>
      </c>
      <c r="E185" s="63" t="s">
        <v>335</v>
      </c>
    </row>
    <row r="186" spans="1:24" x14ac:dyDescent="0.2">
      <c r="A186" s="63" t="s">
        <v>26</v>
      </c>
      <c r="C186" s="63" t="s">
        <v>691</v>
      </c>
      <c r="F186" s="63" t="s">
        <v>2929</v>
      </c>
      <c r="G186" s="63" t="s">
        <v>1713</v>
      </c>
      <c r="H186" s="63" t="s">
        <v>1714</v>
      </c>
      <c r="I186" s="63" t="s">
        <v>1715</v>
      </c>
      <c r="J186" s="63" t="s">
        <v>1716</v>
      </c>
      <c r="K186" s="63" t="s">
        <v>1144</v>
      </c>
      <c r="L186" s="63" t="s">
        <v>692</v>
      </c>
      <c r="N186" s="63" t="s">
        <v>1717</v>
      </c>
      <c r="O186" s="63" t="s">
        <v>1718</v>
      </c>
      <c r="P186" s="63" t="s">
        <v>1145</v>
      </c>
      <c r="Q186" s="63" t="s">
        <v>693</v>
      </c>
      <c r="S186" s="63" t="s">
        <v>1146</v>
      </c>
      <c r="T186" s="63" t="s">
        <v>1147</v>
      </c>
      <c r="U186" s="63" t="s">
        <v>1148</v>
      </c>
      <c r="W186" s="63" t="s">
        <v>694</v>
      </c>
      <c r="X186" s="63" t="s">
        <v>695</v>
      </c>
    </row>
    <row r="187" spans="1:24" x14ac:dyDescent="0.2">
      <c r="A187" s="63" t="s">
        <v>26</v>
      </c>
      <c r="C187" s="63" t="s">
        <v>2341</v>
      </c>
      <c r="F187" s="63" t="s">
        <v>337</v>
      </c>
      <c r="G187" s="63" t="s">
        <v>3144</v>
      </c>
      <c r="H187" s="63" t="s">
        <v>3146</v>
      </c>
      <c r="I187" s="63" t="s">
        <v>3148</v>
      </c>
      <c r="J187" s="63" t="s">
        <v>3150</v>
      </c>
      <c r="K187" s="63" t="s">
        <v>2930</v>
      </c>
      <c r="L187" s="63" t="s">
        <v>2931</v>
      </c>
      <c r="N187" s="63" t="s">
        <v>3152</v>
      </c>
      <c r="O187" s="63" t="s">
        <v>3154</v>
      </c>
      <c r="P187" s="63" t="s">
        <v>2932</v>
      </c>
      <c r="Q187" s="63" t="s">
        <v>2933</v>
      </c>
      <c r="S187" s="63" t="s">
        <v>2934</v>
      </c>
      <c r="T187" s="63" t="s">
        <v>2935</v>
      </c>
      <c r="U187" s="63" t="s">
        <v>2936</v>
      </c>
      <c r="W187" s="63" t="s">
        <v>2937</v>
      </c>
      <c r="X187" s="63" t="s">
        <v>696</v>
      </c>
    </row>
    <row r="188" spans="1:24" x14ac:dyDescent="0.2">
      <c r="A188" s="63" t="s">
        <v>26</v>
      </c>
      <c r="C188" s="63" t="s">
        <v>1149</v>
      </c>
      <c r="F188" s="63" t="s">
        <v>338</v>
      </c>
      <c r="G188" s="63" t="s">
        <v>3145</v>
      </c>
      <c r="H188" s="63" t="s">
        <v>3147</v>
      </c>
      <c r="I188" s="63" t="s">
        <v>3149</v>
      </c>
      <c r="J188" s="63" t="s">
        <v>3151</v>
      </c>
      <c r="K188" s="63" t="s">
        <v>2938</v>
      </c>
      <c r="L188" s="63" t="s">
        <v>1150</v>
      </c>
      <c r="N188" s="63" t="s">
        <v>3153</v>
      </c>
      <c r="O188" s="63" t="s">
        <v>3155</v>
      </c>
      <c r="P188" s="63" t="s">
        <v>2939</v>
      </c>
      <c r="Q188" s="63" t="s">
        <v>1151</v>
      </c>
      <c r="S188" s="63" t="s">
        <v>2940</v>
      </c>
      <c r="T188" s="63" t="s">
        <v>2941</v>
      </c>
      <c r="U188" s="63" t="s">
        <v>2942</v>
      </c>
      <c r="W188" s="63" t="s">
        <v>1152</v>
      </c>
      <c r="X188" s="63" t="s">
        <v>1153</v>
      </c>
    </row>
    <row r="189" spans="1:24" x14ac:dyDescent="0.2">
      <c r="A189" s="63" t="s">
        <v>26</v>
      </c>
      <c r="C189" s="63" t="s">
        <v>698</v>
      </c>
      <c r="F189" s="63" t="s">
        <v>341</v>
      </c>
      <c r="G189" s="63" t="s">
        <v>2435</v>
      </c>
      <c r="H189" s="63" t="s">
        <v>2437</v>
      </c>
      <c r="I189" s="63" t="s">
        <v>2439</v>
      </c>
      <c r="J189" s="63" t="s">
        <v>2441</v>
      </c>
      <c r="K189" s="63" t="s">
        <v>2342</v>
      </c>
      <c r="L189" s="63" t="s">
        <v>2343</v>
      </c>
      <c r="N189" s="63" t="s">
        <v>2443</v>
      </c>
      <c r="O189" s="63" t="s">
        <v>2445</v>
      </c>
      <c r="P189" s="63" t="s">
        <v>2344</v>
      </c>
      <c r="Q189" s="63" t="s">
        <v>2345</v>
      </c>
      <c r="S189" s="63" t="s">
        <v>2346</v>
      </c>
      <c r="T189" s="63" t="s">
        <v>2347</v>
      </c>
      <c r="U189" s="63" t="s">
        <v>2348</v>
      </c>
      <c r="W189" s="63" t="s">
        <v>2349</v>
      </c>
      <c r="X189" s="63" t="s">
        <v>699</v>
      </c>
    </row>
    <row r="190" spans="1:24" x14ac:dyDescent="0.2">
      <c r="A190" s="63" t="s">
        <v>26</v>
      </c>
      <c r="C190" s="63" t="s">
        <v>2350</v>
      </c>
      <c r="F190" s="63" t="s">
        <v>347</v>
      </c>
      <c r="G190" s="63" t="s">
        <v>2436</v>
      </c>
      <c r="H190" s="63" t="s">
        <v>2438</v>
      </c>
      <c r="I190" s="63" t="s">
        <v>2440</v>
      </c>
      <c r="J190" s="63" t="s">
        <v>2442</v>
      </c>
      <c r="K190" s="63" t="s">
        <v>2351</v>
      </c>
      <c r="L190" s="63" t="s">
        <v>2352</v>
      </c>
      <c r="N190" s="63" t="s">
        <v>2444</v>
      </c>
      <c r="O190" s="63" t="s">
        <v>2446</v>
      </c>
      <c r="P190" s="63" t="s">
        <v>2353</v>
      </c>
      <c r="Q190" s="63" t="s">
        <v>2354</v>
      </c>
      <c r="S190" s="63" t="s">
        <v>2355</v>
      </c>
      <c r="T190" s="63" t="s">
        <v>2356</v>
      </c>
      <c r="U190" s="63" t="s">
        <v>2357</v>
      </c>
      <c r="W190" s="63" t="s">
        <v>2358</v>
      </c>
      <c r="X190" s="63" t="s">
        <v>2359</v>
      </c>
    </row>
    <row r="191" spans="1:24" x14ac:dyDescent="0.2">
      <c r="A191" s="63" t="s">
        <v>26</v>
      </c>
      <c r="C191" s="63" t="s">
        <v>2341</v>
      </c>
      <c r="X191" s="63" t="s">
        <v>702</v>
      </c>
    </row>
    <row r="192" spans="1:24" x14ac:dyDescent="0.2">
      <c r="A192" s="63" t="s">
        <v>26</v>
      </c>
      <c r="C192" s="63" t="s">
        <v>703</v>
      </c>
      <c r="H192" s="63" t="s">
        <v>2943</v>
      </c>
      <c r="I192" s="63" t="s">
        <v>2944</v>
      </c>
      <c r="J192" s="63" t="s">
        <v>2945</v>
      </c>
      <c r="K192" s="63" t="s">
        <v>2946</v>
      </c>
      <c r="L192" s="63" t="s">
        <v>705</v>
      </c>
      <c r="N192" s="63" t="s">
        <v>2947</v>
      </c>
      <c r="O192" s="63" t="s">
        <v>2948</v>
      </c>
      <c r="P192" s="63" t="s">
        <v>2949</v>
      </c>
      <c r="Q192" s="63" t="s">
        <v>706</v>
      </c>
      <c r="S192" s="63" t="s">
        <v>2950</v>
      </c>
      <c r="T192" s="63" t="s">
        <v>2951</v>
      </c>
      <c r="U192" s="63" t="s">
        <v>2952</v>
      </c>
      <c r="W192" s="63" t="s">
        <v>707</v>
      </c>
      <c r="X192" s="63" t="s">
        <v>708</v>
      </c>
    </row>
    <row r="193" spans="1:24" x14ac:dyDescent="0.2">
      <c r="A193" s="63" t="s">
        <v>26</v>
      </c>
      <c r="C193" s="63" t="s">
        <v>709</v>
      </c>
    </row>
    <row r="194" spans="1:24" x14ac:dyDescent="0.2">
      <c r="A194" s="63" t="s">
        <v>26</v>
      </c>
      <c r="C194" s="63" t="s">
        <v>2953</v>
      </c>
      <c r="E194" s="63" t="s">
        <v>296</v>
      </c>
    </row>
    <row r="195" spans="1:24" x14ac:dyDescent="0.2">
      <c r="A195" s="63" t="s">
        <v>26</v>
      </c>
      <c r="C195" s="63" t="s">
        <v>711</v>
      </c>
      <c r="F195" s="63" t="s">
        <v>2954</v>
      </c>
      <c r="G195" s="63" t="s">
        <v>1707</v>
      </c>
      <c r="H195" s="63" t="s">
        <v>1708</v>
      </c>
      <c r="I195" s="63" t="s">
        <v>1709</v>
      </c>
      <c r="J195" s="63" t="s">
        <v>1710</v>
      </c>
      <c r="K195" s="63" t="s">
        <v>1154</v>
      </c>
      <c r="L195" s="63" t="s">
        <v>712</v>
      </c>
      <c r="N195" s="63" t="s">
        <v>1711</v>
      </c>
      <c r="O195" s="63" t="s">
        <v>1712</v>
      </c>
      <c r="P195" s="63" t="s">
        <v>1155</v>
      </c>
      <c r="Q195" s="63" t="s">
        <v>713</v>
      </c>
      <c r="S195" s="63" t="s">
        <v>1156</v>
      </c>
      <c r="T195" s="63" t="s">
        <v>1157</v>
      </c>
      <c r="U195" s="63" t="s">
        <v>1158</v>
      </c>
      <c r="W195" s="63" t="s">
        <v>714</v>
      </c>
      <c r="X195" s="63" t="s">
        <v>715</v>
      </c>
    </row>
    <row r="196" spans="1:24" x14ac:dyDescent="0.2">
      <c r="A196" s="63" t="s">
        <v>26</v>
      </c>
      <c r="C196" s="63" t="s">
        <v>2360</v>
      </c>
      <c r="F196" s="63" t="s">
        <v>308</v>
      </c>
      <c r="G196" s="63" t="s">
        <v>3126</v>
      </c>
      <c r="H196" s="63" t="s">
        <v>3129</v>
      </c>
      <c r="I196" s="63" t="s">
        <v>3132</v>
      </c>
      <c r="J196" s="63" t="s">
        <v>3135</v>
      </c>
      <c r="K196" s="63" t="s">
        <v>2955</v>
      </c>
      <c r="L196" s="63" t="s">
        <v>2956</v>
      </c>
      <c r="N196" s="63" t="s">
        <v>3138</v>
      </c>
      <c r="O196" s="63" t="s">
        <v>3141</v>
      </c>
      <c r="P196" s="63" t="s">
        <v>2957</v>
      </c>
      <c r="Q196" s="63" t="s">
        <v>2958</v>
      </c>
      <c r="S196" s="63" t="s">
        <v>2959</v>
      </c>
      <c r="T196" s="63" t="s">
        <v>2960</v>
      </c>
      <c r="U196" s="63" t="s">
        <v>2961</v>
      </c>
      <c r="W196" s="63" t="s">
        <v>2962</v>
      </c>
      <c r="X196" s="63" t="s">
        <v>716</v>
      </c>
    </row>
    <row r="197" spans="1:24" x14ac:dyDescent="0.2">
      <c r="A197" s="63" t="s">
        <v>26</v>
      </c>
      <c r="C197" s="63" t="s">
        <v>1159</v>
      </c>
      <c r="F197" s="63" t="s">
        <v>318</v>
      </c>
      <c r="G197" s="63" t="s">
        <v>3127</v>
      </c>
      <c r="H197" s="63" t="s">
        <v>3130</v>
      </c>
      <c r="I197" s="63" t="s">
        <v>3133</v>
      </c>
      <c r="J197" s="63" t="s">
        <v>3136</v>
      </c>
      <c r="K197" s="63" t="s">
        <v>2963</v>
      </c>
      <c r="L197" s="63" t="s">
        <v>1160</v>
      </c>
      <c r="N197" s="63" t="s">
        <v>3139</v>
      </c>
      <c r="O197" s="63" t="s">
        <v>3142</v>
      </c>
      <c r="P197" s="63" t="s">
        <v>2964</v>
      </c>
      <c r="Q197" s="63" t="s">
        <v>1161</v>
      </c>
      <c r="S197" s="63" t="s">
        <v>2965</v>
      </c>
      <c r="T197" s="63" t="s">
        <v>2966</v>
      </c>
      <c r="U197" s="63" t="s">
        <v>2967</v>
      </c>
      <c r="W197" s="63" t="s">
        <v>1162</v>
      </c>
      <c r="X197" s="63" t="s">
        <v>1163</v>
      </c>
    </row>
    <row r="198" spans="1:24" x14ac:dyDescent="0.2">
      <c r="A198" s="63" t="s">
        <v>26</v>
      </c>
      <c r="C198" s="63" t="s">
        <v>718</v>
      </c>
      <c r="F198" s="63" t="s">
        <v>321</v>
      </c>
      <c r="G198" s="63" t="s">
        <v>2361</v>
      </c>
      <c r="H198" s="63" t="s">
        <v>2362</v>
      </c>
      <c r="I198" s="63" t="s">
        <v>2363</v>
      </c>
      <c r="J198" s="63" t="s">
        <v>2364</v>
      </c>
      <c r="K198" s="63" t="s">
        <v>2365</v>
      </c>
      <c r="L198" s="63" t="s">
        <v>2366</v>
      </c>
      <c r="N198" s="63" t="s">
        <v>2367</v>
      </c>
      <c r="O198" s="63" t="s">
        <v>2368</v>
      </c>
      <c r="P198" s="63" t="s">
        <v>2369</v>
      </c>
      <c r="Q198" s="63" t="s">
        <v>2370</v>
      </c>
      <c r="S198" s="63" t="s">
        <v>2371</v>
      </c>
      <c r="T198" s="63" t="s">
        <v>2372</v>
      </c>
      <c r="U198" s="63" t="s">
        <v>2373</v>
      </c>
      <c r="W198" s="63" t="s">
        <v>2374</v>
      </c>
      <c r="X198" s="63" t="s">
        <v>719</v>
      </c>
    </row>
    <row r="199" spans="1:24" x14ac:dyDescent="0.2">
      <c r="A199" s="63" t="s">
        <v>26</v>
      </c>
      <c r="C199" s="63" t="s">
        <v>2375</v>
      </c>
      <c r="F199" s="63" t="s">
        <v>327</v>
      </c>
      <c r="G199" s="63" t="s">
        <v>3128</v>
      </c>
      <c r="H199" s="63" t="s">
        <v>3131</v>
      </c>
      <c r="I199" s="63" t="s">
        <v>3134</v>
      </c>
      <c r="J199" s="63" t="s">
        <v>3137</v>
      </c>
      <c r="K199" s="63" t="s">
        <v>2968</v>
      </c>
      <c r="L199" s="63" t="s">
        <v>2969</v>
      </c>
      <c r="N199" s="63" t="s">
        <v>3140</v>
      </c>
      <c r="O199" s="63" t="s">
        <v>3143</v>
      </c>
      <c r="P199" s="63" t="s">
        <v>2970</v>
      </c>
      <c r="Q199" s="63" t="s">
        <v>2971</v>
      </c>
      <c r="S199" s="63" t="s">
        <v>2972</v>
      </c>
      <c r="T199" s="63" t="s">
        <v>2973</v>
      </c>
      <c r="U199" s="63" t="s">
        <v>2974</v>
      </c>
      <c r="W199" s="63" t="s">
        <v>2975</v>
      </c>
      <c r="X199" s="63" t="s">
        <v>2376</v>
      </c>
    </row>
    <row r="200" spans="1:24" x14ac:dyDescent="0.2">
      <c r="A200" s="63" t="s">
        <v>26</v>
      </c>
      <c r="C200" s="63" t="s">
        <v>2360</v>
      </c>
      <c r="X200" s="63" t="s">
        <v>720</v>
      </c>
    </row>
    <row r="201" spans="1:24" x14ac:dyDescent="0.2">
      <c r="A201" s="63" t="s">
        <v>26</v>
      </c>
      <c r="C201" s="63" t="s">
        <v>721</v>
      </c>
      <c r="H201" s="63" t="s">
        <v>2976</v>
      </c>
      <c r="I201" s="63" t="s">
        <v>2977</v>
      </c>
      <c r="J201" s="63" t="s">
        <v>2978</v>
      </c>
      <c r="K201" s="63" t="s">
        <v>2979</v>
      </c>
      <c r="L201" s="63" t="s">
        <v>1164</v>
      </c>
      <c r="N201" s="63" t="s">
        <v>2980</v>
      </c>
      <c r="O201" s="63" t="s">
        <v>2981</v>
      </c>
      <c r="P201" s="63" t="s">
        <v>2982</v>
      </c>
      <c r="Q201" s="63" t="s">
        <v>1165</v>
      </c>
      <c r="S201" s="63" t="s">
        <v>2983</v>
      </c>
      <c r="T201" s="63" t="s">
        <v>2984</v>
      </c>
      <c r="U201" s="63" t="s">
        <v>2985</v>
      </c>
      <c r="W201" s="63" t="s">
        <v>1166</v>
      </c>
      <c r="X201" s="63" t="s">
        <v>722</v>
      </c>
    </row>
    <row r="202" spans="1:24" x14ac:dyDescent="0.2">
      <c r="A202" s="63" t="s">
        <v>26</v>
      </c>
      <c r="C202" s="63" t="s">
        <v>1167</v>
      </c>
    </row>
    <row r="203" spans="1:24" x14ac:dyDescent="0.2">
      <c r="A203" s="63" t="s">
        <v>26</v>
      </c>
      <c r="C203" s="63" t="s">
        <v>2986</v>
      </c>
      <c r="E203" s="63" t="s">
        <v>257</v>
      </c>
    </row>
    <row r="204" spans="1:24" x14ac:dyDescent="0.2">
      <c r="A204" s="63" t="s">
        <v>26</v>
      </c>
      <c r="C204" s="63" t="s">
        <v>724</v>
      </c>
      <c r="F204" s="63" t="s">
        <v>2987</v>
      </c>
      <c r="G204" s="63" t="s">
        <v>1641</v>
      </c>
      <c r="H204" s="63" t="s">
        <v>1652</v>
      </c>
      <c r="I204" s="63" t="s">
        <v>1663</v>
      </c>
      <c r="J204" s="63" t="s">
        <v>1674</v>
      </c>
      <c r="K204" s="63" t="s">
        <v>726</v>
      </c>
      <c r="L204" s="63" t="s">
        <v>727</v>
      </c>
      <c r="N204" s="63" t="s">
        <v>1685</v>
      </c>
      <c r="O204" s="63" t="s">
        <v>1696</v>
      </c>
      <c r="P204" s="63" t="s">
        <v>728</v>
      </c>
      <c r="Q204" s="63" t="s">
        <v>729</v>
      </c>
      <c r="S204" s="63" t="s">
        <v>730</v>
      </c>
      <c r="T204" s="63" t="s">
        <v>731</v>
      </c>
      <c r="U204" s="63" t="s">
        <v>732</v>
      </c>
      <c r="W204" s="63" t="s">
        <v>733</v>
      </c>
      <c r="X204" s="63" t="s">
        <v>734</v>
      </c>
    </row>
    <row r="205" spans="1:24" x14ac:dyDescent="0.2">
      <c r="A205" s="63" t="s">
        <v>26</v>
      </c>
      <c r="C205" s="63" t="s">
        <v>735</v>
      </c>
      <c r="F205" s="63" t="s">
        <v>269</v>
      </c>
      <c r="G205" s="63" t="s">
        <v>1642</v>
      </c>
      <c r="H205" s="63" t="s">
        <v>1653</v>
      </c>
      <c r="I205" s="63" t="s">
        <v>1664</v>
      </c>
      <c r="J205" s="63" t="s">
        <v>1675</v>
      </c>
      <c r="K205" s="63" t="s">
        <v>737</v>
      </c>
      <c r="L205" s="63" t="s">
        <v>738</v>
      </c>
      <c r="N205" s="63" t="s">
        <v>1686</v>
      </c>
      <c r="O205" s="63" t="s">
        <v>1697</v>
      </c>
      <c r="P205" s="63" t="s">
        <v>739</v>
      </c>
      <c r="Q205" s="63" t="s">
        <v>740</v>
      </c>
      <c r="S205" s="63" t="s">
        <v>741</v>
      </c>
      <c r="T205" s="63" t="s">
        <v>742</v>
      </c>
      <c r="U205" s="63" t="s">
        <v>743</v>
      </c>
      <c r="W205" s="63" t="s">
        <v>744</v>
      </c>
      <c r="X205" s="63" t="s">
        <v>745</v>
      </c>
    </row>
    <row r="206" spans="1:24" x14ac:dyDescent="0.2">
      <c r="A206" s="63" t="s">
        <v>26</v>
      </c>
      <c r="C206" s="63" t="s">
        <v>746</v>
      </c>
      <c r="F206" s="63" t="s">
        <v>279</v>
      </c>
      <c r="G206" s="63" t="s">
        <v>1643</v>
      </c>
      <c r="H206" s="63" t="s">
        <v>1654</v>
      </c>
      <c r="I206" s="63" t="s">
        <v>1665</v>
      </c>
      <c r="J206" s="63" t="s">
        <v>1676</v>
      </c>
      <c r="K206" s="63" t="s">
        <v>748</v>
      </c>
      <c r="L206" s="63" t="s">
        <v>749</v>
      </c>
      <c r="N206" s="63" t="s">
        <v>1687</v>
      </c>
      <c r="O206" s="63" t="s">
        <v>1698</v>
      </c>
      <c r="P206" s="63" t="s">
        <v>750</v>
      </c>
      <c r="Q206" s="63" t="s">
        <v>751</v>
      </c>
      <c r="S206" s="63" t="s">
        <v>752</v>
      </c>
      <c r="T206" s="63" t="s">
        <v>753</v>
      </c>
      <c r="U206" s="63" t="s">
        <v>754</v>
      </c>
      <c r="W206" s="63" t="s">
        <v>755</v>
      </c>
      <c r="X206" s="63" t="s">
        <v>756</v>
      </c>
    </row>
    <row r="207" spans="1:24" x14ac:dyDescent="0.2">
      <c r="A207" s="63" t="s">
        <v>26</v>
      </c>
      <c r="C207" s="63" t="s">
        <v>757</v>
      </c>
      <c r="F207" s="63" t="s">
        <v>282</v>
      </c>
      <c r="G207" s="63" t="s">
        <v>1644</v>
      </c>
      <c r="H207" s="63" t="s">
        <v>1655</v>
      </c>
      <c r="I207" s="63" t="s">
        <v>1666</v>
      </c>
      <c r="J207" s="63" t="s">
        <v>1677</v>
      </c>
      <c r="K207" s="63" t="s">
        <v>759</v>
      </c>
      <c r="L207" s="63" t="s">
        <v>760</v>
      </c>
      <c r="N207" s="63" t="s">
        <v>1688</v>
      </c>
      <c r="O207" s="63" t="s">
        <v>1699</v>
      </c>
      <c r="P207" s="63" t="s">
        <v>761</v>
      </c>
      <c r="Q207" s="63" t="s">
        <v>762</v>
      </c>
      <c r="S207" s="63" t="s">
        <v>763</v>
      </c>
      <c r="T207" s="63" t="s">
        <v>764</v>
      </c>
      <c r="U207" s="63" t="s">
        <v>765</v>
      </c>
      <c r="W207" s="63" t="s">
        <v>766</v>
      </c>
      <c r="X207" s="63" t="s">
        <v>767</v>
      </c>
    </row>
    <row r="208" spans="1:24" x14ac:dyDescent="0.2">
      <c r="A208" s="63" t="s">
        <v>26</v>
      </c>
      <c r="C208" s="63" t="s">
        <v>1168</v>
      </c>
      <c r="F208" s="63" t="s">
        <v>288</v>
      </c>
      <c r="G208" s="63" t="s">
        <v>1645</v>
      </c>
      <c r="H208" s="63" t="s">
        <v>1656</v>
      </c>
      <c r="I208" s="63" t="s">
        <v>1667</v>
      </c>
      <c r="J208" s="63" t="s">
        <v>1678</v>
      </c>
      <c r="K208" s="63" t="s">
        <v>1169</v>
      </c>
      <c r="L208" s="63" t="s">
        <v>1170</v>
      </c>
      <c r="N208" s="63" t="s">
        <v>1689</v>
      </c>
      <c r="O208" s="63" t="s">
        <v>1700</v>
      </c>
      <c r="P208" s="63" t="s">
        <v>1171</v>
      </c>
      <c r="Q208" s="63" t="s">
        <v>1172</v>
      </c>
      <c r="S208" s="63" t="s">
        <v>1173</v>
      </c>
      <c r="T208" s="63" t="s">
        <v>1174</v>
      </c>
      <c r="U208" s="63" t="s">
        <v>1175</v>
      </c>
      <c r="W208" s="63" t="s">
        <v>1176</v>
      </c>
      <c r="X208" s="63" t="s">
        <v>768</v>
      </c>
    </row>
    <row r="209" spans="1:24" x14ac:dyDescent="0.2">
      <c r="A209" s="63" t="s">
        <v>26</v>
      </c>
      <c r="C209" s="63" t="s">
        <v>735</v>
      </c>
      <c r="X209" s="63" t="s">
        <v>769</v>
      </c>
    </row>
    <row r="210" spans="1:24" x14ac:dyDescent="0.2">
      <c r="A210" s="63" t="s">
        <v>26</v>
      </c>
      <c r="C210" s="63" t="s">
        <v>770</v>
      </c>
      <c r="H210" s="63" t="s">
        <v>2988</v>
      </c>
      <c r="I210" s="63" t="s">
        <v>2989</v>
      </c>
      <c r="J210" s="63" t="s">
        <v>2990</v>
      </c>
      <c r="K210" s="63" t="s">
        <v>2991</v>
      </c>
      <c r="L210" s="63" t="s">
        <v>1177</v>
      </c>
      <c r="N210" s="63" t="s">
        <v>2992</v>
      </c>
      <c r="O210" s="63" t="s">
        <v>2993</v>
      </c>
      <c r="P210" s="63" t="s">
        <v>2994</v>
      </c>
      <c r="Q210" s="63" t="s">
        <v>1178</v>
      </c>
      <c r="S210" s="63" t="s">
        <v>2995</v>
      </c>
      <c r="T210" s="63" t="s">
        <v>2996</v>
      </c>
      <c r="U210" s="63" t="s">
        <v>2997</v>
      </c>
      <c r="W210" s="63" t="s">
        <v>1179</v>
      </c>
      <c r="X210" s="63" t="s">
        <v>771</v>
      </c>
    </row>
    <row r="211" spans="1:24" x14ac:dyDescent="0.2">
      <c r="A211" s="63" t="s">
        <v>26</v>
      </c>
      <c r="C211" s="63" t="s">
        <v>1180</v>
      </c>
    </row>
    <row r="212" spans="1:24" x14ac:dyDescent="0.2">
      <c r="A212" s="63" t="s">
        <v>26</v>
      </c>
      <c r="C212" s="63" t="s">
        <v>2998</v>
      </c>
      <c r="E212" s="63" t="s">
        <v>935</v>
      </c>
    </row>
    <row r="213" spans="1:24" x14ac:dyDescent="0.2">
      <c r="A213" s="63" t="s">
        <v>26</v>
      </c>
      <c r="C213" s="63" t="s">
        <v>773</v>
      </c>
      <c r="F213" s="63" t="s">
        <v>2999</v>
      </c>
      <c r="G213" s="63" t="s">
        <v>1646</v>
      </c>
      <c r="H213" s="63" t="s">
        <v>1657</v>
      </c>
      <c r="I213" s="63" t="s">
        <v>1668</v>
      </c>
      <c r="J213" s="63" t="s">
        <v>1679</v>
      </c>
      <c r="K213" s="63" t="s">
        <v>775</v>
      </c>
      <c r="L213" s="63" t="s">
        <v>776</v>
      </c>
      <c r="N213" s="63" t="s">
        <v>1690</v>
      </c>
      <c r="O213" s="63" t="s">
        <v>1701</v>
      </c>
      <c r="P213" s="63" t="s">
        <v>777</v>
      </c>
      <c r="Q213" s="63" t="s">
        <v>778</v>
      </c>
      <c r="S213" s="63" t="s">
        <v>779</v>
      </c>
      <c r="T213" s="63" t="s">
        <v>780</v>
      </c>
      <c r="U213" s="63" t="s">
        <v>781</v>
      </c>
      <c r="W213" s="63" t="s">
        <v>782</v>
      </c>
      <c r="X213" s="63" t="s">
        <v>783</v>
      </c>
    </row>
    <row r="214" spans="1:24" x14ac:dyDescent="0.2">
      <c r="A214" s="63" t="s">
        <v>26</v>
      </c>
      <c r="C214" s="63" t="s">
        <v>784</v>
      </c>
      <c r="F214" s="63" t="s">
        <v>936</v>
      </c>
      <c r="G214" s="63" t="s">
        <v>1647</v>
      </c>
      <c r="H214" s="63" t="s">
        <v>1658</v>
      </c>
      <c r="I214" s="63" t="s">
        <v>1669</v>
      </c>
      <c r="J214" s="63" t="s">
        <v>1680</v>
      </c>
      <c r="K214" s="63" t="s">
        <v>786</v>
      </c>
      <c r="L214" s="63" t="s">
        <v>787</v>
      </c>
      <c r="N214" s="63" t="s">
        <v>1691</v>
      </c>
      <c r="O214" s="63" t="s">
        <v>1702</v>
      </c>
      <c r="P214" s="63" t="s">
        <v>788</v>
      </c>
      <c r="Q214" s="63" t="s">
        <v>789</v>
      </c>
      <c r="S214" s="63" t="s">
        <v>790</v>
      </c>
      <c r="T214" s="63" t="s">
        <v>791</v>
      </c>
      <c r="U214" s="63" t="s">
        <v>792</v>
      </c>
      <c r="W214" s="63" t="s">
        <v>793</v>
      </c>
      <c r="X214" s="63" t="s">
        <v>794</v>
      </c>
    </row>
    <row r="215" spans="1:24" x14ac:dyDescent="0.2">
      <c r="A215" s="63" t="s">
        <v>26</v>
      </c>
      <c r="C215" s="63" t="s">
        <v>795</v>
      </c>
      <c r="F215" s="63" t="s">
        <v>937</v>
      </c>
      <c r="G215" s="63" t="s">
        <v>1648</v>
      </c>
      <c r="H215" s="63" t="s">
        <v>1659</v>
      </c>
      <c r="I215" s="63" t="s">
        <v>1670</v>
      </c>
      <c r="J215" s="63" t="s">
        <v>1681</v>
      </c>
      <c r="K215" s="63" t="s">
        <v>797</v>
      </c>
      <c r="L215" s="63" t="s">
        <v>798</v>
      </c>
      <c r="N215" s="63" t="s">
        <v>1692</v>
      </c>
      <c r="O215" s="63" t="s">
        <v>1703</v>
      </c>
      <c r="P215" s="63" t="s">
        <v>799</v>
      </c>
      <c r="Q215" s="63" t="s">
        <v>800</v>
      </c>
      <c r="S215" s="63" t="s">
        <v>801</v>
      </c>
      <c r="T215" s="63" t="s">
        <v>802</v>
      </c>
      <c r="U215" s="63" t="s">
        <v>803</v>
      </c>
      <c r="W215" s="63" t="s">
        <v>804</v>
      </c>
      <c r="X215" s="63" t="s">
        <v>805</v>
      </c>
    </row>
    <row r="216" spans="1:24" x14ac:dyDescent="0.2">
      <c r="A216" s="63" t="s">
        <v>26</v>
      </c>
      <c r="C216" s="63" t="s">
        <v>806</v>
      </c>
      <c r="F216" s="63" t="s">
        <v>938</v>
      </c>
      <c r="G216" s="63" t="s">
        <v>1649</v>
      </c>
      <c r="H216" s="63" t="s">
        <v>1660</v>
      </c>
      <c r="I216" s="63" t="s">
        <v>1671</v>
      </c>
      <c r="J216" s="63" t="s">
        <v>1682</v>
      </c>
      <c r="K216" s="63" t="s">
        <v>808</v>
      </c>
      <c r="L216" s="63" t="s">
        <v>809</v>
      </c>
      <c r="N216" s="63" t="s">
        <v>1693</v>
      </c>
      <c r="O216" s="63" t="s">
        <v>1704</v>
      </c>
      <c r="P216" s="63" t="s">
        <v>810</v>
      </c>
      <c r="Q216" s="63" t="s">
        <v>811</v>
      </c>
      <c r="S216" s="63" t="s">
        <v>812</v>
      </c>
      <c r="T216" s="63" t="s">
        <v>813</v>
      </c>
      <c r="U216" s="63" t="s">
        <v>814</v>
      </c>
      <c r="W216" s="63" t="s">
        <v>815</v>
      </c>
      <c r="X216" s="63" t="s">
        <v>816</v>
      </c>
    </row>
    <row r="217" spans="1:24" x14ac:dyDescent="0.2">
      <c r="A217" s="63" t="s">
        <v>26</v>
      </c>
      <c r="C217" s="63" t="s">
        <v>1181</v>
      </c>
      <c r="F217" s="63" t="s">
        <v>939</v>
      </c>
      <c r="G217" s="63" t="s">
        <v>1650</v>
      </c>
      <c r="H217" s="63" t="s">
        <v>1661</v>
      </c>
      <c r="I217" s="63" t="s">
        <v>1672</v>
      </c>
      <c r="J217" s="63" t="s">
        <v>1683</v>
      </c>
      <c r="K217" s="63" t="s">
        <v>1182</v>
      </c>
      <c r="L217" s="63" t="s">
        <v>1183</v>
      </c>
      <c r="N217" s="63" t="s">
        <v>1694</v>
      </c>
      <c r="O217" s="63" t="s">
        <v>1705</v>
      </c>
      <c r="P217" s="63" t="s">
        <v>1184</v>
      </c>
      <c r="Q217" s="63" t="s">
        <v>1185</v>
      </c>
      <c r="S217" s="63" t="s">
        <v>1186</v>
      </c>
      <c r="T217" s="63" t="s">
        <v>1187</v>
      </c>
      <c r="U217" s="63" t="s">
        <v>1188</v>
      </c>
      <c r="W217" s="63" t="s">
        <v>1189</v>
      </c>
      <c r="X217" s="63" t="s">
        <v>817</v>
      </c>
    </row>
    <row r="218" spans="1:24" x14ac:dyDescent="0.2">
      <c r="A218" s="63" t="s">
        <v>26</v>
      </c>
      <c r="C218" s="63" t="s">
        <v>818</v>
      </c>
      <c r="F218" s="63" t="s">
        <v>940</v>
      </c>
      <c r="G218" s="63" t="s">
        <v>1651</v>
      </c>
      <c r="H218" s="63" t="s">
        <v>1662</v>
      </c>
      <c r="I218" s="63" t="s">
        <v>1673</v>
      </c>
      <c r="J218" s="63" t="s">
        <v>1684</v>
      </c>
      <c r="K218" s="63" t="s">
        <v>1190</v>
      </c>
      <c r="L218" s="63" t="s">
        <v>819</v>
      </c>
      <c r="N218" s="63" t="s">
        <v>1695</v>
      </c>
      <c r="O218" s="63" t="s">
        <v>1706</v>
      </c>
      <c r="P218" s="63" t="s">
        <v>1191</v>
      </c>
      <c r="Q218" s="63" t="s">
        <v>820</v>
      </c>
      <c r="S218" s="63" t="s">
        <v>1192</v>
      </c>
      <c r="T218" s="63" t="s">
        <v>1193</v>
      </c>
      <c r="U218" s="63" t="s">
        <v>1194</v>
      </c>
      <c r="W218" s="63" t="s">
        <v>821</v>
      </c>
      <c r="X218" s="63" t="s">
        <v>822</v>
      </c>
    </row>
    <row r="219" spans="1:24" x14ac:dyDescent="0.2">
      <c r="A219" s="63" t="s">
        <v>26</v>
      </c>
      <c r="C219" s="63" t="s">
        <v>2377</v>
      </c>
      <c r="F219" s="63" t="s">
        <v>941</v>
      </c>
      <c r="G219" s="63" t="s">
        <v>3102</v>
      </c>
      <c r="H219" s="63" t="s">
        <v>3106</v>
      </c>
      <c r="I219" s="63" t="s">
        <v>3110</v>
      </c>
      <c r="J219" s="63" t="s">
        <v>3114</v>
      </c>
      <c r="K219" s="63" t="s">
        <v>3000</v>
      </c>
      <c r="L219" s="63" t="s">
        <v>3001</v>
      </c>
      <c r="N219" s="63" t="s">
        <v>3118</v>
      </c>
      <c r="O219" s="63" t="s">
        <v>3122</v>
      </c>
      <c r="P219" s="63" t="s">
        <v>3002</v>
      </c>
      <c r="Q219" s="63" t="s">
        <v>3003</v>
      </c>
      <c r="S219" s="63" t="s">
        <v>3004</v>
      </c>
      <c r="T219" s="63" t="s">
        <v>3005</v>
      </c>
      <c r="U219" s="63" t="s">
        <v>3006</v>
      </c>
      <c r="W219" s="63" t="s">
        <v>3007</v>
      </c>
      <c r="X219" s="63" t="s">
        <v>823</v>
      </c>
    </row>
    <row r="220" spans="1:24" x14ac:dyDescent="0.2">
      <c r="A220" s="63" t="s">
        <v>26</v>
      </c>
      <c r="C220" s="63" t="s">
        <v>1195</v>
      </c>
      <c r="F220" s="63" t="s">
        <v>947</v>
      </c>
      <c r="G220" s="63" t="s">
        <v>3103</v>
      </c>
      <c r="H220" s="63" t="s">
        <v>3107</v>
      </c>
      <c r="I220" s="63" t="s">
        <v>3111</v>
      </c>
      <c r="J220" s="63" t="s">
        <v>3115</v>
      </c>
      <c r="K220" s="63" t="s">
        <v>3008</v>
      </c>
      <c r="L220" s="63" t="s">
        <v>1196</v>
      </c>
      <c r="N220" s="63" t="s">
        <v>3119</v>
      </c>
      <c r="O220" s="63" t="s">
        <v>3123</v>
      </c>
      <c r="P220" s="63" t="s">
        <v>3009</v>
      </c>
      <c r="Q220" s="63" t="s">
        <v>1197</v>
      </c>
      <c r="S220" s="63" t="s">
        <v>3010</v>
      </c>
      <c r="T220" s="63" t="s">
        <v>3011</v>
      </c>
      <c r="U220" s="63" t="s">
        <v>3012</v>
      </c>
      <c r="W220" s="63" t="s">
        <v>1198</v>
      </c>
      <c r="X220" s="63" t="s">
        <v>1199</v>
      </c>
    </row>
    <row r="221" spans="1:24" x14ac:dyDescent="0.2">
      <c r="A221" s="63" t="s">
        <v>26</v>
      </c>
      <c r="C221" s="63" t="s">
        <v>825</v>
      </c>
      <c r="F221" s="63" t="s">
        <v>957</v>
      </c>
      <c r="G221" s="63" t="s">
        <v>2378</v>
      </c>
      <c r="H221" s="63" t="s">
        <v>2379</v>
      </c>
      <c r="I221" s="63" t="s">
        <v>2380</v>
      </c>
      <c r="J221" s="63" t="s">
        <v>2381</v>
      </c>
      <c r="K221" s="63" t="s">
        <v>2382</v>
      </c>
      <c r="L221" s="63" t="s">
        <v>2383</v>
      </c>
      <c r="N221" s="63" t="s">
        <v>2384</v>
      </c>
      <c r="O221" s="63" t="s">
        <v>2385</v>
      </c>
      <c r="P221" s="63" t="s">
        <v>2386</v>
      </c>
      <c r="Q221" s="63" t="s">
        <v>2387</v>
      </c>
      <c r="S221" s="63" t="s">
        <v>2388</v>
      </c>
      <c r="T221" s="63" t="s">
        <v>2389</v>
      </c>
      <c r="U221" s="63" t="s">
        <v>2390</v>
      </c>
      <c r="W221" s="63" t="s">
        <v>2391</v>
      </c>
      <c r="X221" s="63" t="s">
        <v>826</v>
      </c>
    </row>
    <row r="222" spans="1:24" x14ac:dyDescent="0.2">
      <c r="A222" s="63" t="s">
        <v>26</v>
      </c>
      <c r="C222" s="63" t="s">
        <v>2392</v>
      </c>
      <c r="F222" s="63" t="s">
        <v>967</v>
      </c>
      <c r="G222" s="63" t="s">
        <v>3104</v>
      </c>
      <c r="H222" s="63" t="s">
        <v>3108</v>
      </c>
      <c r="I222" s="63" t="s">
        <v>3112</v>
      </c>
      <c r="J222" s="63" t="s">
        <v>3116</v>
      </c>
      <c r="K222" s="63" t="s">
        <v>3013</v>
      </c>
      <c r="L222" s="63" t="s">
        <v>3014</v>
      </c>
      <c r="N222" s="63" t="s">
        <v>3120</v>
      </c>
      <c r="O222" s="63" t="s">
        <v>3124</v>
      </c>
      <c r="P222" s="63" t="s">
        <v>3015</v>
      </c>
      <c r="Q222" s="63" t="s">
        <v>3016</v>
      </c>
      <c r="S222" s="63" t="s">
        <v>3017</v>
      </c>
      <c r="T222" s="63" t="s">
        <v>3018</v>
      </c>
      <c r="U222" s="63" t="s">
        <v>3019</v>
      </c>
      <c r="W222" s="63" t="s">
        <v>3020</v>
      </c>
      <c r="X222" s="63" t="s">
        <v>2393</v>
      </c>
    </row>
    <row r="223" spans="1:24" x14ac:dyDescent="0.2">
      <c r="A223" s="63" t="s">
        <v>26</v>
      </c>
      <c r="C223" s="63" t="s">
        <v>827</v>
      </c>
      <c r="F223" s="63" t="s">
        <v>968</v>
      </c>
      <c r="G223" s="63" t="s">
        <v>1611</v>
      </c>
      <c r="H223" s="63" t="s">
        <v>1616</v>
      </c>
      <c r="I223" s="63" t="s">
        <v>1621</v>
      </c>
      <c r="J223" s="63" t="s">
        <v>1626</v>
      </c>
      <c r="K223" s="63" t="s">
        <v>1200</v>
      </c>
      <c r="L223" s="63" t="s">
        <v>828</v>
      </c>
      <c r="N223" s="63" t="s">
        <v>1631</v>
      </c>
      <c r="O223" s="63" t="s">
        <v>1636</v>
      </c>
      <c r="P223" s="63" t="s">
        <v>1201</v>
      </c>
      <c r="Q223" s="63" t="s">
        <v>829</v>
      </c>
      <c r="S223" s="63" t="s">
        <v>1202</v>
      </c>
      <c r="T223" s="63" t="s">
        <v>1203</v>
      </c>
      <c r="U223" s="63" t="s">
        <v>1204</v>
      </c>
      <c r="W223" s="63" t="s">
        <v>830</v>
      </c>
      <c r="X223" s="63" t="s">
        <v>831</v>
      </c>
    </row>
    <row r="224" spans="1:24" x14ac:dyDescent="0.2">
      <c r="A224" s="63" t="s">
        <v>26</v>
      </c>
      <c r="C224" s="63" t="s">
        <v>832</v>
      </c>
      <c r="F224" s="63" t="s">
        <v>969</v>
      </c>
      <c r="G224" s="63" t="s">
        <v>1612</v>
      </c>
      <c r="H224" s="63" t="s">
        <v>1617</v>
      </c>
      <c r="I224" s="63" t="s">
        <v>1622</v>
      </c>
      <c r="J224" s="63" t="s">
        <v>1627</v>
      </c>
      <c r="K224" s="63" t="s">
        <v>1205</v>
      </c>
      <c r="L224" s="63" t="s">
        <v>1206</v>
      </c>
      <c r="N224" s="63" t="s">
        <v>1632</v>
      </c>
      <c r="O224" s="63" t="s">
        <v>1637</v>
      </c>
      <c r="P224" s="63" t="s">
        <v>1207</v>
      </c>
      <c r="Q224" s="63" t="s">
        <v>1208</v>
      </c>
      <c r="S224" s="63" t="s">
        <v>1209</v>
      </c>
      <c r="T224" s="63" t="s">
        <v>1210</v>
      </c>
      <c r="U224" s="63" t="s">
        <v>1211</v>
      </c>
      <c r="W224" s="63" t="s">
        <v>1212</v>
      </c>
      <c r="X224" s="63" t="s">
        <v>833</v>
      </c>
    </row>
    <row r="225" spans="1:24" x14ac:dyDescent="0.2">
      <c r="A225" s="63" t="s">
        <v>26</v>
      </c>
      <c r="C225" s="63" t="s">
        <v>1213</v>
      </c>
      <c r="F225" s="63" t="s">
        <v>970</v>
      </c>
      <c r="G225" s="63" t="s">
        <v>1613</v>
      </c>
      <c r="H225" s="63" t="s">
        <v>1618</v>
      </c>
      <c r="I225" s="63" t="s">
        <v>1623</v>
      </c>
      <c r="J225" s="63" t="s">
        <v>1628</v>
      </c>
      <c r="K225" s="63" t="s">
        <v>1214</v>
      </c>
      <c r="L225" s="63" t="s">
        <v>1215</v>
      </c>
      <c r="N225" s="63" t="s">
        <v>1633</v>
      </c>
      <c r="O225" s="63" t="s">
        <v>1638</v>
      </c>
      <c r="P225" s="63" t="s">
        <v>1216</v>
      </c>
      <c r="Q225" s="63" t="s">
        <v>1217</v>
      </c>
      <c r="S225" s="63" t="s">
        <v>1218</v>
      </c>
      <c r="T225" s="63" t="s">
        <v>1219</v>
      </c>
      <c r="U225" s="63" t="s">
        <v>1220</v>
      </c>
      <c r="W225" s="63" t="s">
        <v>1221</v>
      </c>
      <c r="X225" s="63" t="s">
        <v>1222</v>
      </c>
    </row>
    <row r="226" spans="1:24" x14ac:dyDescent="0.2">
      <c r="A226" s="63" t="s">
        <v>26</v>
      </c>
      <c r="C226" s="63" t="s">
        <v>835</v>
      </c>
      <c r="F226" s="63" t="s">
        <v>971</v>
      </c>
      <c r="G226" s="63" t="s">
        <v>1614</v>
      </c>
      <c r="H226" s="63" t="s">
        <v>1619</v>
      </c>
      <c r="I226" s="63" t="s">
        <v>1624</v>
      </c>
      <c r="J226" s="63" t="s">
        <v>1629</v>
      </c>
      <c r="K226" s="63" t="s">
        <v>836</v>
      </c>
      <c r="L226" s="63" t="s">
        <v>837</v>
      </c>
      <c r="N226" s="63" t="s">
        <v>1634</v>
      </c>
      <c r="O226" s="63" t="s">
        <v>1639</v>
      </c>
      <c r="P226" s="63" t="s">
        <v>838</v>
      </c>
      <c r="Q226" s="63" t="s">
        <v>839</v>
      </c>
      <c r="S226" s="63" t="s">
        <v>840</v>
      </c>
      <c r="T226" s="63" t="s">
        <v>841</v>
      </c>
      <c r="U226" s="63" t="s">
        <v>842</v>
      </c>
      <c r="W226" s="63" t="s">
        <v>843</v>
      </c>
      <c r="X226" s="63" t="s">
        <v>844</v>
      </c>
    </row>
    <row r="227" spans="1:24" x14ac:dyDescent="0.2">
      <c r="A227" s="63" t="s">
        <v>26</v>
      </c>
      <c r="C227" s="63" t="s">
        <v>845</v>
      </c>
      <c r="F227" s="63" t="s">
        <v>972</v>
      </c>
      <c r="G227" s="63" t="s">
        <v>1615</v>
      </c>
      <c r="H227" s="63" t="s">
        <v>1620</v>
      </c>
      <c r="I227" s="63" t="s">
        <v>1625</v>
      </c>
      <c r="J227" s="63" t="s">
        <v>1630</v>
      </c>
      <c r="K227" s="63" t="s">
        <v>847</v>
      </c>
      <c r="L227" s="63" t="s">
        <v>848</v>
      </c>
      <c r="N227" s="63" t="s">
        <v>1635</v>
      </c>
      <c r="O227" s="63" t="s">
        <v>1640</v>
      </c>
      <c r="P227" s="63" t="s">
        <v>849</v>
      </c>
      <c r="Q227" s="63" t="s">
        <v>850</v>
      </c>
      <c r="S227" s="63" t="s">
        <v>851</v>
      </c>
      <c r="T227" s="63" t="s">
        <v>852</v>
      </c>
      <c r="U227" s="63" t="s">
        <v>853</v>
      </c>
      <c r="W227" s="63" t="s">
        <v>854</v>
      </c>
      <c r="X227" s="63" t="s">
        <v>855</v>
      </c>
    </row>
    <row r="228" spans="1:24" x14ac:dyDescent="0.2">
      <c r="A228" s="63" t="s">
        <v>26</v>
      </c>
      <c r="C228" s="63" t="s">
        <v>2394</v>
      </c>
      <c r="F228" s="63" t="s">
        <v>973</v>
      </c>
      <c r="G228" s="63" t="s">
        <v>2417</v>
      </c>
      <c r="H228" s="63" t="s">
        <v>2420</v>
      </c>
      <c r="I228" s="63" t="s">
        <v>2423</v>
      </c>
      <c r="J228" s="63" t="s">
        <v>2426</v>
      </c>
      <c r="K228" s="63" t="s">
        <v>2395</v>
      </c>
      <c r="L228" s="63" t="s">
        <v>2396</v>
      </c>
      <c r="N228" s="63" t="s">
        <v>2429</v>
      </c>
      <c r="O228" s="63" t="s">
        <v>2432</v>
      </c>
      <c r="P228" s="63" t="s">
        <v>2397</v>
      </c>
      <c r="Q228" s="63" t="s">
        <v>2398</v>
      </c>
      <c r="S228" s="63" t="s">
        <v>2399</v>
      </c>
      <c r="T228" s="63" t="s">
        <v>2400</v>
      </c>
      <c r="U228" s="63" t="s">
        <v>2401</v>
      </c>
      <c r="W228" s="63" t="s">
        <v>2402</v>
      </c>
      <c r="X228" s="63" t="s">
        <v>857</v>
      </c>
    </row>
    <row r="229" spans="1:24" x14ac:dyDescent="0.2">
      <c r="A229" s="63" t="s">
        <v>26</v>
      </c>
      <c r="C229" s="63" t="s">
        <v>858</v>
      </c>
      <c r="F229" s="63" t="s">
        <v>979</v>
      </c>
      <c r="G229" s="63" t="s">
        <v>2418</v>
      </c>
      <c r="H229" s="63" t="s">
        <v>2421</v>
      </c>
      <c r="I229" s="63" t="s">
        <v>2424</v>
      </c>
      <c r="J229" s="63" t="s">
        <v>2427</v>
      </c>
      <c r="K229" s="63" t="s">
        <v>2403</v>
      </c>
      <c r="L229" s="63" t="s">
        <v>860</v>
      </c>
      <c r="N229" s="63" t="s">
        <v>2430</v>
      </c>
      <c r="O229" s="63" t="s">
        <v>2433</v>
      </c>
      <c r="P229" s="63" t="s">
        <v>2404</v>
      </c>
      <c r="Q229" s="63" t="s">
        <v>861</v>
      </c>
      <c r="S229" s="63" t="s">
        <v>2405</v>
      </c>
      <c r="T229" s="63" t="s">
        <v>2406</v>
      </c>
      <c r="U229" s="63" t="s">
        <v>2407</v>
      </c>
      <c r="W229" s="63" t="s">
        <v>862</v>
      </c>
      <c r="X229" s="63" t="s">
        <v>863</v>
      </c>
    </row>
    <row r="230" spans="1:24" x14ac:dyDescent="0.2">
      <c r="A230" s="63" t="s">
        <v>26</v>
      </c>
      <c r="C230" s="63" t="s">
        <v>864</v>
      </c>
      <c r="F230" s="63" t="s">
        <v>981</v>
      </c>
      <c r="G230" s="63" t="s">
        <v>2419</v>
      </c>
      <c r="H230" s="63" t="s">
        <v>2422</v>
      </c>
      <c r="I230" s="63" t="s">
        <v>2425</v>
      </c>
      <c r="J230" s="63" t="s">
        <v>2428</v>
      </c>
      <c r="K230" s="63" t="s">
        <v>2408</v>
      </c>
      <c r="L230" s="63" t="s">
        <v>2409</v>
      </c>
      <c r="N230" s="63" t="s">
        <v>2431</v>
      </c>
      <c r="O230" s="63" t="s">
        <v>2434</v>
      </c>
      <c r="P230" s="63" t="s">
        <v>2410</v>
      </c>
      <c r="Q230" s="63" t="s">
        <v>2411</v>
      </c>
      <c r="S230" s="63" t="s">
        <v>2412</v>
      </c>
      <c r="T230" s="63" t="s">
        <v>2413</v>
      </c>
      <c r="U230" s="63" t="s">
        <v>2414</v>
      </c>
      <c r="W230" s="63" t="s">
        <v>2415</v>
      </c>
      <c r="X230" s="63" t="s">
        <v>866</v>
      </c>
    </row>
    <row r="231" spans="1:24" x14ac:dyDescent="0.2">
      <c r="A231" s="63" t="s">
        <v>26</v>
      </c>
      <c r="C231" s="63" t="s">
        <v>3021</v>
      </c>
      <c r="F231" s="63" t="s">
        <v>986</v>
      </c>
      <c r="G231" s="63" t="s">
        <v>3105</v>
      </c>
      <c r="H231" s="63" t="s">
        <v>3109</v>
      </c>
      <c r="I231" s="63" t="s">
        <v>3113</v>
      </c>
      <c r="J231" s="63" t="s">
        <v>3117</v>
      </c>
      <c r="K231" s="63" t="s">
        <v>3022</v>
      </c>
      <c r="L231" s="63" t="s">
        <v>3023</v>
      </c>
      <c r="N231" s="63" t="s">
        <v>3121</v>
      </c>
      <c r="O231" s="63" t="s">
        <v>3125</v>
      </c>
      <c r="P231" s="63" t="s">
        <v>3024</v>
      </c>
      <c r="Q231" s="63" t="s">
        <v>3025</v>
      </c>
      <c r="S231" s="63" t="s">
        <v>3026</v>
      </c>
      <c r="T231" s="63" t="s">
        <v>3027</v>
      </c>
      <c r="U231" s="63" t="s">
        <v>3028</v>
      </c>
      <c r="W231" s="63" t="s">
        <v>3029</v>
      </c>
      <c r="X231" s="63" t="s">
        <v>2416</v>
      </c>
    </row>
    <row r="232" spans="1:24" x14ac:dyDescent="0.2">
      <c r="A232" s="63" t="s">
        <v>26</v>
      </c>
      <c r="C232" s="63" t="s">
        <v>867</v>
      </c>
      <c r="F232" s="63" t="s">
        <v>987</v>
      </c>
      <c r="G232" s="63" t="s">
        <v>1223</v>
      </c>
      <c r="H232" s="63" t="s">
        <v>1224</v>
      </c>
      <c r="I232" s="63" t="s">
        <v>1225</v>
      </c>
      <c r="J232" s="63" t="s">
        <v>1226</v>
      </c>
      <c r="K232" s="63" t="s">
        <v>1227</v>
      </c>
      <c r="L232" s="63" t="s">
        <v>868</v>
      </c>
      <c r="N232" s="63" t="s">
        <v>1228</v>
      </c>
      <c r="O232" s="63" t="s">
        <v>1229</v>
      </c>
      <c r="P232" s="63" t="s">
        <v>1230</v>
      </c>
      <c r="Q232" s="63" t="s">
        <v>869</v>
      </c>
      <c r="S232" s="63" t="s">
        <v>1231</v>
      </c>
      <c r="T232" s="63" t="s">
        <v>1232</v>
      </c>
      <c r="U232" s="63" t="s">
        <v>1233</v>
      </c>
      <c r="W232" s="63" t="s">
        <v>870</v>
      </c>
      <c r="X232" s="63" t="s">
        <v>871</v>
      </c>
    </row>
    <row r="233" spans="1:24" x14ac:dyDescent="0.2">
      <c r="A233" s="63" t="s">
        <v>26</v>
      </c>
      <c r="C233" s="63" t="s">
        <v>784</v>
      </c>
      <c r="X233" s="63" t="s">
        <v>872</v>
      </c>
    </row>
    <row r="234" spans="1:24" x14ac:dyDescent="0.2">
      <c r="A234" s="63" t="s">
        <v>26</v>
      </c>
      <c r="C234" s="63" t="s">
        <v>1234</v>
      </c>
      <c r="H234" s="63" t="s">
        <v>3030</v>
      </c>
      <c r="I234" s="63" t="s">
        <v>3031</v>
      </c>
      <c r="J234" s="63" t="s">
        <v>3032</v>
      </c>
      <c r="K234" s="63" t="s">
        <v>3033</v>
      </c>
      <c r="L234" s="63" t="s">
        <v>1235</v>
      </c>
      <c r="N234" s="63" t="s">
        <v>3034</v>
      </c>
      <c r="O234" s="63" t="s">
        <v>3035</v>
      </c>
      <c r="P234" s="63" t="s">
        <v>3036</v>
      </c>
      <c r="Q234" s="63" t="s">
        <v>1236</v>
      </c>
      <c r="S234" s="63" t="s">
        <v>3037</v>
      </c>
      <c r="T234" s="63" t="s">
        <v>3038</v>
      </c>
      <c r="U234" s="63" t="s">
        <v>3039</v>
      </c>
      <c r="W234" s="63" t="s">
        <v>1237</v>
      </c>
      <c r="X234" s="63" t="s">
        <v>1238</v>
      </c>
    </row>
    <row r="235" spans="1:24" x14ac:dyDescent="0.2">
      <c r="A235" s="63" t="s">
        <v>26</v>
      </c>
      <c r="C235" s="63" t="s">
        <v>874</v>
      </c>
    </row>
    <row r="236" spans="1:24" x14ac:dyDescent="0.2">
      <c r="A236" s="63" t="s">
        <v>26</v>
      </c>
      <c r="C236" s="63" t="s">
        <v>1239</v>
      </c>
      <c r="E236" s="63" t="s">
        <v>227</v>
      </c>
    </row>
    <row r="237" spans="1:24" x14ac:dyDescent="0.2">
      <c r="A237" s="63" t="s">
        <v>26</v>
      </c>
      <c r="C237" s="63" t="s">
        <v>876</v>
      </c>
      <c r="F237" s="63" t="s">
        <v>1240</v>
      </c>
      <c r="G237" s="63" t="s">
        <v>1581</v>
      </c>
      <c r="H237" s="63" t="s">
        <v>1586</v>
      </c>
      <c r="I237" s="63" t="s">
        <v>1591</v>
      </c>
      <c r="J237" s="63" t="s">
        <v>1596</v>
      </c>
      <c r="K237" s="63" t="s">
        <v>878</v>
      </c>
      <c r="L237" s="63" t="s">
        <v>879</v>
      </c>
      <c r="N237" s="63" t="s">
        <v>1601</v>
      </c>
      <c r="O237" s="63" t="s">
        <v>1606</v>
      </c>
      <c r="P237" s="63" t="s">
        <v>880</v>
      </c>
      <c r="Q237" s="63" t="s">
        <v>881</v>
      </c>
      <c r="S237" s="63" t="s">
        <v>882</v>
      </c>
      <c r="T237" s="63" t="s">
        <v>883</v>
      </c>
      <c r="U237" s="63" t="s">
        <v>884</v>
      </c>
      <c r="W237" s="63" t="s">
        <v>885</v>
      </c>
      <c r="X237" s="63" t="s">
        <v>886</v>
      </c>
    </row>
    <row r="238" spans="1:24" x14ac:dyDescent="0.2">
      <c r="A238" s="63" t="s">
        <v>26</v>
      </c>
      <c r="C238" s="63" t="s">
        <v>887</v>
      </c>
      <c r="F238" s="63" t="s">
        <v>229</v>
      </c>
      <c r="G238" s="63" t="s">
        <v>1582</v>
      </c>
      <c r="H238" s="63" t="s">
        <v>1587</v>
      </c>
      <c r="I238" s="63" t="s">
        <v>1592</v>
      </c>
      <c r="J238" s="63" t="s">
        <v>1597</v>
      </c>
      <c r="K238" s="63" t="s">
        <v>889</v>
      </c>
      <c r="L238" s="63" t="s">
        <v>890</v>
      </c>
      <c r="N238" s="63" t="s">
        <v>1602</v>
      </c>
      <c r="O238" s="63" t="s">
        <v>1607</v>
      </c>
      <c r="P238" s="63" t="s">
        <v>891</v>
      </c>
      <c r="Q238" s="63" t="s">
        <v>892</v>
      </c>
      <c r="S238" s="63" t="s">
        <v>893</v>
      </c>
      <c r="T238" s="63" t="s">
        <v>894</v>
      </c>
      <c r="U238" s="63" t="s">
        <v>895</v>
      </c>
      <c r="W238" s="63" t="s">
        <v>896</v>
      </c>
      <c r="X238" s="63" t="s">
        <v>897</v>
      </c>
    </row>
    <row r="239" spans="1:24" x14ac:dyDescent="0.2">
      <c r="A239" s="63" t="s">
        <v>26</v>
      </c>
      <c r="C239" s="63" t="s">
        <v>898</v>
      </c>
      <c r="F239" s="63" t="s">
        <v>240</v>
      </c>
      <c r="G239" s="63" t="s">
        <v>1583</v>
      </c>
      <c r="H239" s="63" t="s">
        <v>1588</v>
      </c>
      <c r="I239" s="63" t="s">
        <v>1593</v>
      </c>
      <c r="J239" s="63" t="s">
        <v>1598</v>
      </c>
      <c r="K239" s="63" t="s">
        <v>900</v>
      </c>
      <c r="L239" s="63" t="s">
        <v>901</v>
      </c>
      <c r="N239" s="63" t="s">
        <v>1603</v>
      </c>
      <c r="O239" s="63" t="s">
        <v>1608</v>
      </c>
      <c r="P239" s="63" t="s">
        <v>902</v>
      </c>
      <c r="Q239" s="63" t="s">
        <v>903</v>
      </c>
      <c r="S239" s="63" t="s">
        <v>904</v>
      </c>
      <c r="T239" s="63" t="s">
        <v>905</v>
      </c>
      <c r="U239" s="63" t="s">
        <v>906</v>
      </c>
      <c r="W239" s="63" t="s">
        <v>907</v>
      </c>
      <c r="X239" s="63" t="s">
        <v>908</v>
      </c>
    </row>
    <row r="240" spans="1:24" x14ac:dyDescent="0.2">
      <c r="A240" s="63" t="s">
        <v>26</v>
      </c>
      <c r="C240" s="63" t="s">
        <v>1241</v>
      </c>
      <c r="F240" s="63" t="s">
        <v>243</v>
      </c>
      <c r="G240" s="63" t="s">
        <v>1584</v>
      </c>
      <c r="H240" s="63" t="s">
        <v>1589</v>
      </c>
      <c r="I240" s="63" t="s">
        <v>1594</v>
      </c>
      <c r="J240" s="63" t="s">
        <v>1599</v>
      </c>
      <c r="K240" s="63" t="s">
        <v>1242</v>
      </c>
      <c r="L240" s="63" t="s">
        <v>1243</v>
      </c>
      <c r="N240" s="63" t="s">
        <v>1604</v>
      </c>
      <c r="O240" s="63" t="s">
        <v>1609</v>
      </c>
      <c r="P240" s="63" t="s">
        <v>1244</v>
      </c>
      <c r="Q240" s="63" t="s">
        <v>1245</v>
      </c>
      <c r="S240" s="63" t="s">
        <v>1246</v>
      </c>
      <c r="T240" s="63" t="s">
        <v>1247</v>
      </c>
      <c r="U240" s="63" t="s">
        <v>1248</v>
      </c>
      <c r="W240" s="63" t="s">
        <v>1249</v>
      </c>
      <c r="X240" s="63" t="s">
        <v>909</v>
      </c>
    </row>
    <row r="241" spans="1:24" x14ac:dyDescent="0.2">
      <c r="A241" s="63" t="s">
        <v>26</v>
      </c>
      <c r="C241" s="63" t="s">
        <v>910</v>
      </c>
      <c r="F241" s="63" t="s">
        <v>249</v>
      </c>
      <c r="G241" s="63" t="s">
        <v>1585</v>
      </c>
      <c r="H241" s="63" t="s">
        <v>1590</v>
      </c>
      <c r="I241" s="63" t="s">
        <v>1595</v>
      </c>
      <c r="J241" s="63" t="s">
        <v>1600</v>
      </c>
      <c r="K241" s="63" t="s">
        <v>1250</v>
      </c>
      <c r="L241" s="63" t="s">
        <v>911</v>
      </c>
      <c r="N241" s="63" t="s">
        <v>1605</v>
      </c>
      <c r="O241" s="63" t="s">
        <v>1610</v>
      </c>
      <c r="P241" s="63" t="s">
        <v>1251</v>
      </c>
      <c r="Q241" s="63" t="s">
        <v>912</v>
      </c>
      <c r="S241" s="63" t="s">
        <v>1252</v>
      </c>
      <c r="T241" s="63" t="s">
        <v>1253</v>
      </c>
      <c r="U241" s="63" t="s">
        <v>1254</v>
      </c>
      <c r="W241" s="63" t="s">
        <v>913</v>
      </c>
      <c r="X241" s="63" t="s">
        <v>914</v>
      </c>
    </row>
    <row r="242" spans="1:24" x14ac:dyDescent="0.2">
      <c r="A242" s="63" t="s">
        <v>26</v>
      </c>
      <c r="C242" s="63" t="s">
        <v>887</v>
      </c>
      <c r="X242" s="63" t="s">
        <v>915</v>
      </c>
    </row>
    <row r="243" spans="1:24" x14ac:dyDescent="0.2">
      <c r="A243" s="63" t="s">
        <v>26</v>
      </c>
      <c r="C243" s="63" t="s">
        <v>1255</v>
      </c>
      <c r="H243" s="63" t="s">
        <v>1256</v>
      </c>
      <c r="I243" s="63" t="s">
        <v>1257</v>
      </c>
      <c r="J243" s="63" t="s">
        <v>1258</v>
      </c>
      <c r="K243" s="63" t="s">
        <v>1259</v>
      </c>
      <c r="L243" s="63" t="s">
        <v>916</v>
      </c>
      <c r="N243" s="63" t="s">
        <v>2022</v>
      </c>
      <c r="O243" s="63" t="s">
        <v>2023</v>
      </c>
      <c r="P243" s="63" t="s">
        <v>1260</v>
      </c>
      <c r="Q243" s="63" t="s">
        <v>917</v>
      </c>
      <c r="S243" s="63" t="s">
        <v>1261</v>
      </c>
      <c r="T243" s="63" t="s">
        <v>1262</v>
      </c>
      <c r="U243" s="63" t="s">
        <v>1263</v>
      </c>
      <c r="W243" s="63" t="s">
        <v>918</v>
      </c>
      <c r="X243" s="63" t="s">
        <v>919</v>
      </c>
    </row>
    <row r="244" spans="1:24" x14ac:dyDescent="0.2">
      <c r="A244" s="63" t="s">
        <v>26</v>
      </c>
      <c r="C244" s="63" t="s">
        <v>1264</v>
      </c>
    </row>
    <row r="245" spans="1:24" x14ac:dyDescent="0.2">
      <c r="A245" s="63" t="s">
        <v>26</v>
      </c>
      <c r="C245" s="63" t="s">
        <v>1265</v>
      </c>
      <c r="E245" s="63" t="s">
        <v>185</v>
      </c>
    </row>
    <row r="246" spans="1:24" x14ac:dyDescent="0.2">
      <c r="A246" s="63" t="s">
        <v>26</v>
      </c>
      <c r="C246" s="63" t="s">
        <v>1266</v>
      </c>
      <c r="F246" s="63" t="s">
        <v>1267</v>
      </c>
      <c r="G246" s="63" t="s">
        <v>1551</v>
      </c>
      <c r="H246" s="63" t="s">
        <v>1556</v>
      </c>
      <c r="I246" s="63" t="s">
        <v>1561</v>
      </c>
      <c r="J246" s="63" t="s">
        <v>1566</v>
      </c>
      <c r="K246" s="63" t="s">
        <v>1268</v>
      </c>
      <c r="L246" s="63" t="s">
        <v>1269</v>
      </c>
      <c r="N246" s="63" t="s">
        <v>1571</v>
      </c>
      <c r="O246" s="63" t="s">
        <v>1576</v>
      </c>
      <c r="P246" s="63" t="s">
        <v>1270</v>
      </c>
      <c r="Q246" s="63" t="s">
        <v>1271</v>
      </c>
      <c r="S246" s="63" t="s">
        <v>1272</v>
      </c>
      <c r="T246" s="63" t="s">
        <v>1273</v>
      </c>
      <c r="U246" s="63" t="s">
        <v>1274</v>
      </c>
      <c r="W246" s="63" t="s">
        <v>1275</v>
      </c>
      <c r="X246" s="63" t="s">
        <v>1276</v>
      </c>
    </row>
    <row r="247" spans="1:24" x14ac:dyDescent="0.2">
      <c r="A247" s="63" t="s">
        <v>26</v>
      </c>
      <c r="C247" s="63" t="s">
        <v>1277</v>
      </c>
      <c r="F247" s="63" t="s">
        <v>186</v>
      </c>
      <c r="G247" s="63" t="s">
        <v>1552</v>
      </c>
      <c r="H247" s="63" t="s">
        <v>1557</v>
      </c>
      <c r="I247" s="63" t="s">
        <v>1562</v>
      </c>
      <c r="J247" s="63" t="s">
        <v>1567</v>
      </c>
      <c r="K247" s="63" t="s">
        <v>1278</v>
      </c>
      <c r="L247" s="63" t="s">
        <v>1279</v>
      </c>
      <c r="N247" s="63" t="s">
        <v>1572</v>
      </c>
      <c r="O247" s="63" t="s">
        <v>1577</v>
      </c>
      <c r="P247" s="63" t="s">
        <v>1280</v>
      </c>
      <c r="Q247" s="63" t="s">
        <v>1281</v>
      </c>
      <c r="S247" s="63" t="s">
        <v>1282</v>
      </c>
      <c r="T247" s="63" t="s">
        <v>1283</v>
      </c>
      <c r="U247" s="63" t="s">
        <v>1284</v>
      </c>
      <c r="W247" s="63" t="s">
        <v>1285</v>
      </c>
      <c r="X247" s="63" t="s">
        <v>1286</v>
      </c>
    </row>
    <row r="248" spans="1:24" x14ac:dyDescent="0.2">
      <c r="A248" s="63" t="s">
        <v>26</v>
      </c>
      <c r="C248" s="63" t="s">
        <v>1287</v>
      </c>
      <c r="F248" s="63" t="s">
        <v>195</v>
      </c>
      <c r="G248" s="63" t="s">
        <v>1553</v>
      </c>
      <c r="H248" s="63" t="s">
        <v>1558</v>
      </c>
      <c r="I248" s="63" t="s">
        <v>1563</v>
      </c>
      <c r="J248" s="63" t="s">
        <v>1568</v>
      </c>
      <c r="K248" s="63" t="s">
        <v>1288</v>
      </c>
      <c r="L248" s="63" t="s">
        <v>1289</v>
      </c>
      <c r="N248" s="63" t="s">
        <v>1573</v>
      </c>
      <c r="O248" s="63" t="s">
        <v>1578</v>
      </c>
      <c r="P248" s="63" t="s">
        <v>1290</v>
      </c>
      <c r="Q248" s="63" t="s">
        <v>1291</v>
      </c>
      <c r="S248" s="63" t="s">
        <v>1292</v>
      </c>
      <c r="T248" s="63" t="s">
        <v>1293</v>
      </c>
      <c r="U248" s="63" t="s">
        <v>1294</v>
      </c>
      <c r="W248" s="63" t="s">
        <v>1295</v>
      </c>
      <c r="X248" s="63" t="s">
        <v>1296</v>
      </c>
    </row>
    <row r="249" spans="1:24" x14ac:dyDescent="0.2">
      <c r="A249" s="63" t="s">
        <v>26</v>
      </c>
      <c r="C249" s="63" t="s">
        <v>1297</v>
      </c>
      <c r="F249" s="63" t="s">
        <v>202</v>
      </c>
      <c r="G249" s="63" t="s">
        <v>1554</v>
      </c>
      <c r="H249" s="63" t="s">
        <v>1559</v>
      </c>
      <c r="I249" s="63" t="s">
        <v>1564</v>
      </c>
      <c r="J249" s="63" t="s">
        <v>1569</v>
      </c>
      <c r="K249" s="63" t="s">
        <v>1298</v>
      </c>
      <c r="L249" s="63" t="s">
        <v>1299</v>
      </c>
      <c r="N249" s="63" t="s">
        <v>1574</v>
      </c>
      <c r="O249" s="63" t="s">
        <v>1579</v>
      </c>
      <c r="P249" s="63" t="s">
        <v>1300</v>
      </c>
      <c r="Q249" s="63" t="s">
        <v>1301</v>
      </c>
      <c r="S249" s="63" t="s">
        <v>1302</v>
      </c>
      <c r="T249" s="63" t="s">
        <v>1303</v>
      </c>
      <c r="U249" s="63" t="s">
        <v>1304</v>
      </c>
      <c r="W249" s="63" t="s">
        <v>1305</v>
      </c>
      <c r="X249" s="63" t="s">
        <v>1306</v>
      </c>
    </row>
    <row r="250" spans="1:24" x14ac:dyDescent="0.2">
      <c r="A250" s="63" t="s">
        <v>26</v>
      </c>
      <c r="C250" s="63" t="s">
        <v>1307</v>
      </c>
      <c r="F250" s="63" t="s">
        <v>213</v>
      </c>
      <c r="G250" s="63" t="s">
        <v>1555</v>
      </c>
      <c r="H250" s="63" t="s">
        <v>1560</v>
      </c>
      <c r="I250" s="63" t="s">
        <v>1565</v>
      </c>
      <c r="J250" s="63" t="s">
        <v>1570</v>
      </c>
      <c r="K250" s="63" t="s">
        <v>1308</v>
      </c>
      <c r="L250" s="63" t="s">
        <v>1309</v>
      </c>
      <c r="N250" s="63" t="s">
        <v>1575</v>
      </c>
      <c r="O250" s="63" t="s">
        <v>1580</v>
      </c>
      <c r="P250" s="63" t="s">
        <v>1310</v>
      </c>
      <c r="Q250" s="63" t="s">
        <v>1311</v>
      </c>
      <c r="S250" s="63" t="s">
        <v>1312</v>
      </c>
      <c r="T250" s="63" t="s">
        <v>1313</v>
      </c>
      <c r="U250" s="63" t="s">
        <v>1314</v>
      </c>
      <c r="W250" s="63" t="s">
        <v>1315</v>
      </c>
      <c r="X250" s="63" t="s">
        <v>1316</v>
      </c>
    </row>
    <row r="251" spans="1:24" x14ac:dyDescent="0.2">
      <c r="A251" s="63" t="s">
        <v>26</v>
      </c>
      <c r="C251" s="63" t="s">
        <v>1277</v>
      </c>
      <c r="X251" s="63" t="s">
        <v>1317</v>
      </c>
    </row>
    <row r="252" spans="1:24" x14ac:dyDescent="0.2">
      <c r="A252" s="63" t="s">
        <v>26</v>
      </c>
      <c r="C252" s="63" t="s">
        <v>1318</v>
      </c>
      <c r="H252" s="63" t="s">
        <v>1319</v>
      </c>
      <c r="I252" s="63" t="s">
        <v>1320</v>
      </c>
      <c r="J252" s="63" t="s">
        <v>1321</v>
      </c>
      <c r="K252" s="63" t="s">
        <v>1322</v>
      </c>
      <c r="L252" s="63" t="s">
        <v>1323</v>
      </c>
      <c r="N252" s="63" t="s">
        <v>2024</v>
      </c>
      <c r="O252" s="63" t="s">
        <v>2025</v>
      </c>
      <c r="P252" s="63" t="s">
        <v>1324</v>
      </c>
      <c r="Q252" s="63" t="s">
        <v>1325</v>
      </c>
      <c r="S252" s="63" t="s">
        <v>1326</v>
      </c>
      <c r="T252" s="63" t="s">
        <v>1327</v>
      </c>
      <c r="U252" s="63" t="s">
        <v>1328</v>
      </c>
      <c r="W252" s="63" t="s">
        <v>1329</v>
      </c>
      <c r="X252" s="63" t="s">
        <v>1330</v>
      </c>
    </row>
    <row r="253" spans="1:24" x14ac:dyDescent="0.2">
      <c r="A253" s="63" t="s">
        <v>26</v>
      </c>
      <c r="C253" s="63" t="s">
        <v>1331</v>
      </c>
    </row>
    <row r="254" spans="1:24" x14ac:dyDescent="0.2">
      <c r="A254" s="63" t="s">
        <v>26</v>
      </c>
      <c r="C254" s="63" t="s">
        <v>1332</v>
      </c>
      <c r="E254" s="63" t="s">
        <v>182</v>
      </c>
    </row>
    <row r="255" spans="1:24" x14ac:dyDescent="0.2">
      <c r="A255" s="63" t="s">
        <v>26</v>
      </c>
      <c r="C255" s="63" t="s">
        <v>1333</v>
      </c>
      <c r="F255" s="63" t="s">
        <v>1334</v>
      </c>
      <c r="G255" s="63" t="s">
        <v>1335</v>
      </c>
      <c r="H255" s="63" t="s">
        <v>1336</v>
      </c>
      <c r="I255" s="63" t="s">
        <v>1337</v>
      </c>
      <c r="J255" s="63" t="s">
        <v>1338</v>
      </c>
      <c r="K255" s="63" t="s">
        <v>1339</v>
      </c>
      <c r="L255" s="63" t="s">
        <v>1340</v>
      </c>
      <c r="N255" s="63" t="s">
        <v>1341</v>
      </c>
      <c r="O255" s="63" t="s">
        <v>1342</v>
      </c>
      <c r="P255" s="63" t="s">
        <v>1343</v>
      </c>
      <c r="Q255" s="63" t="s">
        <v>1344</v>
      </c>
      <c r="S255" s="63" t="s">
        <v>1345</v>
      </c>
      <c r="T255" s="63" t="s">
        <v>1346</v>
      </c>
      <c r="U255" s="63" t="s">
        <v>1347</v>
      </c>
      <c r="W255" s="63" t="s">
        <v>1348</v>
      </c>
      <c r="X255" s="63" t="s">
        <v>1349</v>
      </c>
    </row>
    <row r="256" spans="1:24" x14ac:dyDescent="0.2">
      <c r="A256" s="63" t="s">
        <v>26</v>
      </c>
      <c r="C256" s="63" t="s">
        <v>1350</v>
      </c>
      <c r="F256" s="63" t="s">
        <v>183</v>
      </c>
      <c r="G256" s="63" t="s">
        <v>3090</v>
      </c>
      <c r="H256" s="63" t="s">
        <v>3092</v>
      </c>
      <c r="I256" s="63" t="s">
        <v>3094</v>
      </c>
      <c r="J256" s="63" t="s">
        <v>3096</v>
      </c>
      <c r="K256" s="63" t="s">
        <v>3040</v>
      </c>
      <c r="L256" s="63" t="s">
        <v>3041</v>
      </c>
      <c r="N256" s="63" t="s">
        <v>3098</v>
      </c>
      <c r="O256" s="63" t="s">
        <v>3100</v>
      </c>
      <c r="P256" s="63" t="s">
        <v>3042</v>
      </c>
      <c r="Q256" s="63" t="s">
        <v>3043</v>
      </c>
      <c r="S256" s="63" t="s">
        <v>3044</v>
      </c>
      <c r="T256" s="63" t="s">
        <v>3045</v>
      </c>
      <c r="U256" s="63" t="s">
        <v>3046</v>
      </c>
      <c r="W256" s="63" t="s">
        <v>3047</v>
      </c>
      <c r="X256" s="63" t="s">
        <v>1351</v>
      </c>
    </row>
    <row r="257" spans="1:24" x14ac:dyDescent="0.2">
      <c r="A257" s="63" t="s">
        <v>26</v>
      </c>
      <c r="C257" s="63" t="s">
        <v>1352</v>
      </c>
      <c r="F257" s="63" t="s">
        <v>184</v>
      </c>
      <c r="G257" s="63" t="s">
        <v>3091</v>
      </c>
      <c r="H257" s="63" t="s">
        <v>3093</v>
      </c>
      <c r="I257" s="63" t="s">
        <v>3095</v>
      </c>
      <c r="J257" s="63" t="s">
        <v>3097</v>
      </c>
      <c r="K257" s="63" t="s">
        <v>3048</v>
      </c>
      <c r="L257" s="63" t="s">
        <v>1354</v>
      </c>
      <c r="N257" s="63" t="s">
        <v>3099</v>
      </c>
      <c r="O257" s="63" t="s">
        <v>3101</v>
      </c>
      <c r="P257" s="63" t="s">
        <v>3049</v>
      </c>
      <c r="Q257" s="63" t="s">
        <v>1355</v>
      </c>
      <c r="S257" s="63" t="s">
        <v>3050</v>
      </c>
      <c r="T257" s="63" t="s">
        <v>3051</v>
      </c>
      <c r="U257" s="63" t="s">
        <v>3052</v>
      </c>
      <c r="W257" s="63" t="s">
        <v>1356</v>
      </c>
      <c r="X257" s="63" t="s">
        <v>1357</v>
      </c>
    </row>
    <row r="258" spans="1:24" x14ac:dyDescent="0.2">
      <c r="A258" s="63" t="s">
        <v>26</v>
      </c>
      <c r="C258" s="63" t="s">
        <v>1350</v>
      </c>
      <c r="X258" s="63" t="s">
        <v>1358</v>
      </c>
    </row>
    <row r="259" spans="1:24" x14ac:dyDescent="0.2">
      <c r="A259" s="63" t="s">
        <v>26</v>
      </c>
      <c r="C259" s="63" t="s">
        <v>3053</v>
      </c>
      <c r="H259" s="63" t="s">
        <v>1353</v>
      </c>
      <c r="I259" s="63" t="s">
        <v>3054</v>
      </c>
      <c r="J259" s="63" t="s">
        <v>3055</v>
      </c>
      <c r="K259" s="63" t="s">
        <v>3056</v>
      </c>
      <c r="L259" s="63" t="s">
        <v>3057</v>
      </c>
      <c r="N259" s="63" t="s">
        <v>3058</v>
      </c>
      <c r="O259" s="63" t="s">
        <v>3059</v>
      </c>
      <c r="P259" s="63" t="s">
        <v>3060</v>
      </c>
      <c r="Q259" s="63" t="s">
        <v>3061</v>
      </c>
      <c r="S259" s="63" t="s">
        <v>3062</v>
      </c>
      <c r="T259" s="63" t="s">
        <v>3063</v>
      </c>
      <c r="U259" s="63" t="s">
        <v>3064</v>
      </c>
      <c r="W259" s="63" t="s">
        <v>3065</v>
      </c>
      <c r="X259" s="63" t="s">
        <v>3066</v>
      </c>
    </row>
    <row r="260" spans="1:24" x14ac:dyDescent="0.2">
      <c r="A260" s="63" t="s">
        <v>26</v>
      </c>
      <c r="C260" s="63" t="s">
        <v>1359</v>
      </c>
    </row>
    <row r="261" spans="1:24" x14ac:dyDescent="0.2">
      <c r="A261" s="63" t="s">
        <v>26</v>
      </c>
      <c r="C261" s="63" t="s">
        <v>3067</v>
      </c>
      <c r="E261" s="63" t="s">
        <v>179</v>
      </c>
    </row>
    <row r="262" spans="1:24" x14ac:dyDescent="0.2">
      <c r="A262" s="63" t="s">
        <v>26</v>
      </c>
      <c r="C262" s="63" t="s">
        <v>1360</v>
      </c>
      <c r="F262" s="63" t="s">
        <v>3068</v>
      </c>
      <c r="G262" s="63" t="s">
        <v>1533</v>
      </c>
      <c r="H262" s="63" t="s">
        <v>1536</v>
      </c>
      <c r="I262" s="63" t="s">
        <v>1539</v>
      </c>
      <c r="J262" s="63" t="s">
        <v>1542</v>
      </c>
      <c r="K262" s="63" t="s">
        <v>1361</v>
      </c>
      <c r="L262" s="63" t="s">
        <v>1362</v>
      </c>
      <c r="N262" s="63" t="s">
        <v>1545</v>
      </c>
      <c r="O262" s="63" t="s">
        <v>1548</v>
      </c>
      <c r="P262" s="63" t="s">
        <v>1363</v>
      </c>
      <c r="Q262" s="63" t="s">
        <v>1364</v>
      </c>
      <c r="S262" s="63" t="s">
        <v>1365</v>
      </c>
      <c r="T262" s="63" t="s">
        <v>1366</v>
      </c>
      <c r="U262" s="63" t="s">
        <v>1367</v>
      </c>
      <c r="W262" s="63" t="s">
        <v>1368</v>
      </c>
      <c r="X262" s="63" t="s">
        <v>1369</v>
      </c>
    </row>
    <row r="263" spans="1:24" x14ac:dyDescent="0.2">
      <c r="A263" s="63" t="s">
        <v>26</v>
      </c>
      <c r="C263" s="63" t="s">
        <v>1370</v>
      </c>
      <c r="F263" s="63" t="s">
        <v>180</v>
      </c>
      <c r="G263" s="63" t="s">
        <v>1534</v>
      </c>
      <c r="H263" s="63" t="s">
        <v>1537</v>
      </c>
      <c r="I263" s="63" t="s">
        <v>1540</v>
      </c>
      <c r="J263" s="63" t="s">
        <v>1543</v>
      </c>
      <c r="K263" s="63" t="s">
        <v>1371</v>
      </c>
      <c r="L263" s="63" t="s">
        <v>1372</v>
      </c>
      <c r="N263" s="63" t="s">
        <v>1546</v>
      </c>
      <c r="O263" s="63" t="s">
        <v>1549</v>
      </c>
      <c r="P263" s="63" t="s">
        <v>1373</v>
      </c>
      <c r="Q263" s="63" t="s">
        <v>1374</v>
      </c>
      <c r="S263" s="63" t="s">
        <v>1375</v>
      </c>
      <c r="T263" s="63" t="s">
        <v>1376</v>
      </c>
      <c r="U263" s="63" t="s">
        <v>1377</v>
      </c>
      <c r="W263" s="63" t="s">
        <v>1378</v>
      </c>
      <c r="X263" s="63" t="s">
        <v>1379</v>
      </c>
    </row>
    <row r="264" spans="1:24" x14ac:dyDescent="0.2">
      <c r="A264" s="63" t="s">
        <v>26</v>
      </c>
      <c r="C264" s="63" t="s">
        <v>1380</v>
      </c>
      <c r="F264" s="63" t="s">
        <v>181</v>
      </c>
      <c r="G264" s="63" t="s">
        <v>1535</v>
      </c>
      <c r="H264" s="63" t="s">
        <v>1538</v>
      </c>
      <c r="I264" s="63" t="s">
        <v>1541</v>
      </c>
      <c r="J264" s="63" t="s">
        <v>1544</v>
      </c>
      <c r="K264" s="63" t="s">
        <v>1381</v>
      </c>
      <c r="L264" s="63" t="s">
        <v>1382</v>
      </c>
      <c r="N264" s="63" t="s">
        <v>1547</v>
      </c>
      <c r="O264" s="63" t="s">
        <v>1550</v>
      </c>
      <c r="P264" s="63" t="s">
        <v>1383</v>
      </c>
      <c r="Q264" s="63" t="s">
        <v>1384</v>
      </c>
      <c r="S264" s="63" t="s">
        <v>1385</v>
      </c>
      <c r="T264" s="63" t="s">
        <v>1386</v>
      </c>
      <c r="U264" s="63" t="s">
        <v>1387</v>
      </c>
      <c r="W264" s="63" t="s">
        <v>1388</v>
      </c>
      <c r="X264" s="63" t="s">
        <v>1389</v>
      </c>
    </row>
    <row r="265" spans="1:24" x14ac:dyDescent="0.2">
      <c r="A265" s="63" t="s">
        <v>26</v>
      </c>
      <c r="C265" s="63" t="s">
        <v>1370</v>
      </c>
      <c r="X265" s="63" t="s">
        <v>1390</v>
      </c>
    </row>
    <row r="266" spans="1:24" x14ac:dyDescent="0.2">
      <c r="A266" s="63" t="s">
        <v>26</v>
      </c>
      <c r="C266" s="63" t="s">
        <v>1391</v>
      </c>
      <c r="H266" s="63" t="s">
        <v>3069</v>
      </c>
      <c r="I266" s="63" t="s">
        <v>3070</v>
      </c>
      <c r="J266" s="63" t="s">
        <v>3071</v>
      </c>
      <c r="K266" s="63" t="s">
        <v>3072</v>
      </c>
      <c r="L266" s="63" t="s">
        <v>1392</v>
      </c>
      <c r="N266" s="63" t="s">
        <v>3073</v>
      </c>
      <c r="O266" s="63" t="s">
        <v>3074</v>
      </c>
      <c r="P266" s="63" t="s">
        <v>3075</v>
      </c>
      <c r="Q266" s="63" t="s">
        <v>1393</v>
      </c>
      <c r="S266" s="63" t="s">
        <v>3076</v>
      </c>
      <c r="T266" s="63" t="s">
        <v>3077</v>
      </c>
      <c r="U266" s="63" t="s">
        <v>3078</v>
      </c>
      <c r="W266" s="63" t="s">
        <v>1394</v>
      </c>
      <c r="X266" s="63" t="s">
        <v>1395</v>
      </c>
    </row>
    <row r="267" spans="1:24" x14ac:dyDescent="0.2">
      <c r="A267" s="63" t="s">
        <v>26</v>
      </c>
      <c r="C267" s="63" t="s">
        <v>1396</v>
      </c>
    </row>
    <row r="268" spans="1:24" x14ac:dyDescent="0.2">
      <c r="A268" s="63" t="s">
        <v>26</v>
      </c>
      <c r="C268" s="63" t="s">
        <v>1397</v>
      </c>
      <c r="E268" s="63" t="s">
        <v>3079</v>
      </c>
    </row>
    <row r="269" spans="1:24" x14ac:dyDescent="0.2">
      <c r="A269" s="63" t="s">
        <v>26</v>
      </c>
      <c r="C269" s="63" t="s">
        <v>1398</v>
      </c>
      <c r="F269" s="63" t="s">
        <v>1399</v>
      </c>
      <c r="G269" s="63" t="s">
        <v>1503</v>
      </c>
      <c r="H269" s="63" t="s">
        <v>1508</v>
      </c>
      <c r="I269" s="63" t="s">
        <v>1513</v>
      </c>
      <c r="J269" s="63" t="s">
        <v>1518</v>
      </c>
      <c r="K269" s="63" t="s">
        <v>1400</v>
      </c>
      <c r="L269" s="63" t="s">
        <v>1401</v>
      </c>
      <c r="N269" s="63" t="s">
        <v>1523</v>
      </c>
      <c r="O269" s="63" t="s">
        <v>1528</v>
      </c>
      <c r="P269" s="63" t="s">
        <v>1402</v>
      </c>
      <c r="Q269" s="63" t="s">
        <v>1403</v>
      </c>
      <c r="S269" s="63" t="s">
        <v>1404</v>
      </c>
      <c r="T269" s="63" t="s">
        <v>1405</v>
      </c>
      <c r="U269" s="63" t="s">
        <v>1406</v>
      </c>
      <c r="W269" s="63" t="s">
        <v>1407</v>
      </c>
      <c r="X269" s="63" t="s">
        <v>1408</v>
      </c>
    </row>
    <row r="270" spans="1:24" x14ac:dyDescent="0.2">
      <c r="A270" s="63" t="s">
        <v>26</v>
      </c>
      <c r="C270" s="63" t="s">
        <v>1409</v>
      </c>
      <c r="F270" s="63" t="s">
        <v>175</v>
      </c>
      <c r="G270" s="63" t="s">
        <v>1504</v>
      </c>
      <c r="H270" s="63" t="s">
        <v>1509</v>
      </c>
      <c r="I270" s="63" t="s">
        <v>1514</v>
      </c>
      <c r="J270" s="63" t="s">
        <v>1519</v>
      </c>
      <c r="K270" s="63" t="s">
        <v>1410</v>
      </c>
      <c r="L270" s="63" t="s">
        <v>1411</v>
      </c>
      <c r="N270" s="63" t="s">
        <v>1524</v>
      </c>
      <c r="O270" s="63" t="s">
        <v>1529</v>
      </c>
      <c r="P270" s="63" t="s">
        <v>1412</v>
      </c>
      <c r="Q270" s="63" t="s">
        <v>1413</v>
      </c>
      <c r="S270" s="63" t="s">
        <v>1414</v>
      </c>
      <c r="T270" s="63" t="s">
        <v>1415</v>
      </c>
      <c r="U270" s="63" t="s">
        <v>1416</v>
      </c>
      <c r="W270" s="63" t="s">
        <v>1417</v>
      </c>
      <c r="X270" s="63" t="s">
        <v>1418</v>
      </c>
    </row>
    <row r="271" spans="1:24" x14ac:dyDescent="0.2">
      <c r="A271" s="63" t="s">
        <v>26</v>
      </c>
      <c r="C271" s="63" t="s">
        <v>1419</v>
      </c>
      <c r="F271" s="63" t="s">
        <v>176</v>
      </c>
      <c r="G271" s="63" t="s">
        <v>1505</v>
      </c>
      <c r="H271" s="63" t="s">
        <v>1510</v>
      </c>
      <c r="I271" s="63" t="s">
        <v>1515</v>
      </c>
      <c r="J271" s="63" t="s">
        <v>1520</v>
      </c>
      <c r="K271" s="63" t="s">
        <v>1420</v>
      </c>
      <c r="L271" s="63" t="s">
        <v>1421</v>
      </c>
      <c r="N271" s="63" t="s">
        <v>1525</v>
      </c>
      <c r="O271" s="63" t="s">
        <v>1530</v>
      </c>
      <c r="P271" s="63" t="s">
        <v>1422</v>
      </c>
      <c r="Q271" s="63" t="s">
        <v>1423</v>
      </c>
      <c r="S271" s="63" t="s">
        <v>1424</v>
      </c>
      <c r="T271" s="63" t="s">
        <v>1425</v>
      </c>
      <c r="U271" s="63" t="s">
        <v>1426</v>
      </c>
      <c r="W271" s="63" t="s">
        <v>1427</v>
      </c>
      <c r="X271" s="63" t="s">
        <v>1428</v>
      </c>
    </row>
    <row r="272" spans="1:24" x14ac:dyDescent="0.2">
      <c r="A272" s="63" t="s">
        <v>26</v>
      </c>
      <c r="C272" s="63" t="s">
        <v>1429</v>
      </c>
      <c r="F272" s="63" t="s">
        <v>177</v>
      </c>
      <c r="G272" s="63" t="s">
        <v>1506</v>
      </c>
      <c r="H272" s="63" t="s">
        <v>1511</v>
      </c>
      <c r="I272" s="63" t="s">
        <v>1516</v>
      </c>
      <c r="J272" s="63" t="s">
        <v>1521</v>
      </c>
      <c r="K272" s="63" t="s">
        <v>1430</v>
      </c>
      <c r="L272" s="63" t="s">
        <v>1431</v>
      </c>
      <c r="N272" s="63" t="s">
        <v>1526</v>
      </c>
      <c r="O272" s="63" t="s">
        <v>1531</v>
      </c>
      <c r="P272" s="63" t="s">
        <v>1432</v>
      </c>
      <c r="Q272" s="63" t="s">
        <v>1433</v>
      </c>
      <c r="S272" s="63" t="s">
        <v>1434</v>
      </c>
      <c r="T272" s="63" t="s">
        <v>1435</v>
      </c>
      <c r="U272" s="63" t="s">
        <v>1436</v>
      </c>
      <c r="W272" s="63" t="s">
        <v>1437</v>
      </c>
      <c r="X272" s="63" t="s">
        <v>1438</v>
      </c>
    </row>
    <row r="273" spans="1:24" x14ac:dyDescent="0.2">
      <c r="A273" s="63" t="s">
        <v>26</v>
      </c>
      <c r="C273" s="63" t="s">
        <v>1439</v>
      </c>
      <c r="F273" s="63" t="s">
        <v>178</v>
      </c>
      <c r="G273" s="63" t="s">
        <v>1507</v>
      </c>
      <c r="H273" s="63" t="s">
        <v>1512</v>
      </c>
      <c r="I273" s="63" t="s">
        <v>1517</v>
      </c>
      <c r="J273" s="63" t="s">
        <v>1522</v>
      </c>
      <c r="K273" s="63" t="s">
        <v>1440</v>
      </c>
      <c r="L273" s="63" t="s">
        <v>1441</v>
      </c>
      <c r="N273" s="63" t="s">
        <v>1527</v>
      </c>
      <c r="O273" s="63" t="s">
        <v>1532</v>
      </c>
      <c r="P273" s="63" t="s">
        <v>1442</v>
      </c>
      <c r="Q273" s="63" t="s">
        <v>1443</v>
      </c>
      <c r="S273" s="63" t="s">
        <v>1444</v>
      </c>
      <c r="T273" s="63" t="s">
        <v>1445</v>
      </c>
      <c r="U273" s="63" t="s">
        <v>1446</v>
      </c>
      <c r="W273" s="63" t="s">
        <v>1447</v>
      </c>
      <c r="X273" s="63" t="s">
        <v>1448</v>
      </c>
    </row>
    <row r="274" spans="1:24" x14ac:dyDescent="0.2">
      <c r="A274" s="63" t="s">
        <v>26</v>
      </c>
      <c r="C274" s="63" t="s">
        <v>1409</v>
      </c>
      <c r="X274" s="63" t="s">
        <v>1449</v>
      </c>
    </row>
    <row r="275" spans="1:24" x14ac:dyDescent="0.2">
      <c r="A275" s="63" t="s">
        <v>26</v>
      </c>
      <c r="C275" s="63" t="s">
        <v>1450</v>
      </c>
      <c r="H275" s="63" t="s">
        <v>1451</v>
      </c>
      <c r="I275" s="63" t="s">
        <v>1452</v>
      </c>
      <c r="J275" s="63" t="s">
        <v>1453</v>
      </c>
      <c r="K275" s="63" t="s">
        <v>1454</v>
      </c>
      <c r="L275" s="63" t="s">
        <v>1455</v>
      </c>
      <c r="N275" s="63" t="s">
        <v>2026</v>
      </c>
      <c r="O275" s="63" t="s">
        <v>2027</v>
      </c>
      <c r="P275" s="63" t="s">
        <v>1456</v>
      </c>
      <c r="Q275" s="63" t="s">
        <v>1457</v>
      </c>
      <c r="S275" s="63" t="s">
        <v>1458</v>
      </c>
      <c r="T275" s="63" t="s">
        <v>1459</v>
      </c>
      <c r="U275" s="63" t="s">
        <v>1460</v>
      </c>
      <c r="W275" s="63" t="s">
        <v>1461</v>
      </c>
      <c r="X275" s="63" t="s">
        <v>1462</v>
      </c>
    </row>
    <row r="276" spans="1:24" x14ac:dyDescent="0.2">
      <c r="A276" s="63" t="s">
        <v>26</v>
      </c>
      <c r="C276" s="63" t="s">
        <v>1463</v>
      </c>
    </row>
    <row r="277" spans="1:24" x14ac:dyDescent="0.2">
      <c r="A277" s="63" t="s">
        <v>11</v>
      </c>
      <c r="C277" s="63" t="s">
        <v>123</v>
      </c>
      <c r="X277" s="63" t="s">
        <v>3080</v>
      </c>
    </row>
    <row r="278" spans="1:24" x14ac:dyDescent="0.2">
      <c r="C278" s="63" t="s">
        <v>1464</v>
      </c>
      <c r="H278" s="63" t="s">
        <v>27</v>
      </c>
      <c r="I278" s="63" t="s">
        <v>3081</v>
      </c>
      <c r="J278" s="63" t="s">
        <v>3082</v>
      </c>
      <c r="K278" s="63" t="s">
        <v>3083</v>
      </c>
      <c r="L278" s="63" t="s">
        <v>1465</v>
      </c>
      <c r="N278" s="63" t="s">
        <v>3084</v>
      </c>
      <c r="O278" s="63" t="s">
        <v>3085</v>
      </c>
      <c r="P278" s="63" t="s">
        <v>3086</v>
      </c>
      <c r="Q278" s="63" t="s">
        <v>1466</v>
      </c>
      <c r="S278" s="63" t="s">
        <v>3087</v>
      </c>
      <c r="T278" s="63" t="s">
        <v>3088</v>
      </c>
      <c r="U278" s="63" t="s">
        <v>3089</v>
      </c>
      <c r="W278" s="63" t="s">
        <v>1467</v>
      </c>
      <c r="X278" s="63" t="s">
        <v>1468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25C7DD94-3CC4-4D88-80C5-C8673F4C95E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Read Me</vt:lpstr>
      <vt:lpstr>Options</vt:lpstr>
      <vt:lpstr>Report</vt:lpstr>
      <vt:lpstr>Genprodpostinggroup</vt:lpstr>
      <vt:lpstr>ItemNo</vt:lpstr>
      <vt:lpstr>Report!Print_Area</vt:lpstr>
      <vt:lpstr>Productgroupcode</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Sales by Product Group</dc:title>
  <dc:subject>Jet Reports</dc:subject>
  <dc:creator>KeeshaW@jetreports.com</dc:creator>
  <dc:description>Provides information on item sales amounts, quantities, and gross profits for a user-defined date range and provides info for same date period, prior year (and YoY variance).</dc:description>
  <cp:lastModifiedBy>Kim R. Duey</cp:lastModifiedBy>
  <dcterms:created xsi:type="dcterms:W3CDTF">2006-10-04T14:59:40Z</dcterms:created>
  <dcterms:modified xsi:type="dcterms:W3CDTF">2018-10-24T19:51:37Z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true</vt:bool>
  </property>
  <property fmtid="{D5CDD505-2E9C-101B-9397-08002B2CF9AE}" pid="4" name="OriginalName">
    <vt:lpwstr>item sales by product group 1.23.07.xls</vt:lpwstr>
  </property>
  <property fmtid="{D5CDD505-2E9C-101B-9397-08002B2CF9AE}" pid="5" name="Jet Reports Last Version Refresh">
    <vt:lpwstr>Version 5.2.0  Released 8/16/2006 8:51:52 AM</vt:lpwstr>
  </property>
  <property fmtid="{D5CDD505-2E9C-101B-9397-08002B2CF9AE}" pid="6" name="Jet Reports Design Mode Active">
    <vt:bool>false</vt:bool>
  </property>
  <property fmtid="{D5CDD505-2E9C-101B-9397-08002B2CF9AE}" pid="7" name="Jet Reports Function Literals">
    <vt:lpwstr>,	;	,	{	}	[@[{0}]]	1033</vt:lpwstr>
  </property>
</Properties>
</file>