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150" yWindow="45" windowWidth="14205" windowHeight="8505" tabRatio="763"/>
  </bookViews>
  <sheets>
    <sheet name="Read Me" sheetId="145" r:id="rId1"/>
    <sheet name="Options" sheetId="5" state="hidden" r:id="rId2"/>
    <sheet name="Dept Sales Trend" sheetId="1" r:id="rId3"/>
    <sheet name="Dept IS" sheetId="2" r:id="rId4"/>
    <sheet name="Dept IS Graphics" sheetId="3" r:id="rId5"/>
    <sheet name="Cash Flow" sheetId="4" r:id="rId6"/>
    <sheet name="Sheet13" sheetId="158" state="veryHidden" r:id="rId7"/>
    <sheet name="Sheet14" sheetId="159" state="veryHidden" r:id="rId8"/>
    <sheet name="Sheet15" sheetId="160" state="veryHidden" r:id="rId9"/>
    <sheet name="Sheet16" sheetId="161" state="veryHidden" r:id="rId10"/>
    <sheet name="Sheet17" sheetId="162" state="veryHidden" r:id="rId11"/>
    <sheet name="Sheet18" sheetId="163" state="veryHidden" r:id="rId12"/>
    <sheet name="Sheet19" sheetId="164" state="veryHidden" r:id="rId13"/>
    <sheet name="Sheet20" sheetId="165" state="veryHidden" r:id="rId14"/>
    <sheet name="Sheet21" sheetId="166" state="veryHidden" r:id="rId15"/>
    <sheet name="Sheet22" sheetId="167" state="veryHidden" r:id="rId16"/>
    <sheet name="Sheet23" sheetId="168" state="veryHidden" r:id="rId17"/>
    <sheet name="Sheet24" sheetId="169" state="veryHidden" r:id="rId18"/>
  </sheets>
  <definedNames>
    <definedName name="_xlnm._FilterDatabase" localSheetId="1" hidden="1">Options!$F$1:$G$1</definedName>
    <definedName name="Body">'Dept Sales Trend'!$E$12:$H$20</definedName>
    <definedName name="Department">Options!$G$11</definedName>
    <definedName name="RevenueTotal">'Dept Sales Trend'!$I$20</definedName>
    <definedName name="RevenueTrend">'Dept Sales Trend'!$F$14:$H$14,'Dept Sales Trend'!$F$20:$H$20</definedName>
    <definedName name="StartDate">Options!$G$9</definedName>
    <definedName name="YearStartDate">Options!$G$10</definedName>
  </definedNames>
  <calcPr calcId="162913"/>
</workbook>
</file>

<file path=xl/calcChain.xml><?xml version="1.0" encoding="utf-8"?>
<calcChain xmlns="http://schemas.openxmlformats.org/spreadsheetml/2006/main">
  <c r="H11" i="5" l="1"/>
  <c r="F15" i="1"/>
  <c r="G15" i="1"/>
  <c r="H15" i="1"/>
  <c r="F16" i="1"/>
  <c r="G16" i="1"/>
  <c r="H16" i="1"/>
  <c r="F17" i="1"/>
  <c r="G17" i="1"/>
  <c r="H17" i="1"/>
  <c r="F18" i="1"/>
  <c r="G18" i="1"/>
  <c r="H18" i="1"/>
  <c r="F19" i="1"/>
  <c r="G19" i="1"/>
  <c r="H19" i="1"/>
  <c r="E10" i="4"/>
  <c r="E26" i="4" s="1"/>
  <c r="E14" i="4"/>
  <c r="D17" i="4"/>
  <c r="E17" i="4"/>
  <c r="D18" i="4"/>
  <c r="E18" i="4"/>
  <c r="D19" i="4"/>
  <c r="E19" i="4"/>
  <c r="D20" i="4"/>
  <c r="E20" i="4"/>
  <c r="D21" i="4"/>
  <c r="E21" i="4"/>
  <c r="D22" i="4"/>
  <c r="E22" i="4"/>
  <c r="D23" i="4"/>
  <c r="E23" i="4"/>
  <c r="D24" i="4"/>
  <c r="E24" i="4"/>
  <c r="D25" i="4"/>
  <c r="E25" i="4"/>
  <c r="D29" i="4"/>
  <c r="E29" i="4"/>
  <c r="D30" i="4"/>
  <c r="E30" i="4"/>
  <c r="E31" i="4" s="1"/>
  <c r="D34" i="4"/>
  <c r="E34" i="4"/>
  <c r="D35" i="4"/>
  <c r="E35" i="4"/>
  <c r="D36" i="4"/>
  <c r="E36" i="4"/>
  <c r="D15" i="2"/>
  <c r="E15" i="2"/>
  <c r="F15" i="2"/>
  <c r="G15" i="2"/>
  <c r="I15" i="2"/>
  <c r="K15" i="2" s="1"/>
  <c r="J15" i="2"/>
  <c r="J19" i="2" s="1"/>
  <c r="M15" i="2"/>
  <c r="N15" i="2"/>
  <c r="O15" i="2" s="1"/>
  <c r="Q15" i="2"/>
  <c r="R15" i="2"/>
  <c r="S15" i="2"/>
  <c r="S19" i="2" s="1"/>
  <c r="S32" i="2" s="1"/>
  <c r="S44" i="2" s="1"/>
  <c r="S45" i="2" s="1"/>
  <c r="T15" i="2"/>
  <c r="T19" i="2" s="1"/>
  <c r="D16" i="2"/>
  <c r="E16" i="2"/>
  <c r="F16" i="2"/>
  <c r="F19" i="2" s="1"/>
  <c r="G16" i="2"/>
  <c r="I16" i="2" s="1"/>
  <c r="K16" i="2" s="1"/>
  <c r="J16" i="2"/>
  <c r="M16" i="2"/>
  <c r="O16" i="2" s="1"/>
  <c r="N16" i="2"/>
  <c r="Q16" i="2"/>
  <c r="Q19" i="2" s="1"/>
  <c r="R16" i="2"/>
  <c r="R19" i="2" s="1"/>
  <c r="S16" i="2"/>
  <c r="T16" i="2"/>
  <c r="D17" i="2"/>
  <c r="E17" i="2"/>
  <c r="F17" i="2"/>
  <c r="G17" i="2"/>
  <c r="I17" i="2"/>
  <c r="K17" i="2" s="1"/>
  <c r="J17" i="2"/>
  <c r="M17" i="2"/>
  <c r="N17" i="2"/>
  <c r="O17" i="2"/>
  <c r="Q17" i="2"/>
  <c r="R17" i="2"/>
  <c r="S17" i="2"/>
  <c r="T17" i="2"/>
  <c r="D18" i="2"/>
  <c r="E18" i="2"/>
  <c r="F18" i="2"/>
  <c r="G18" i="2"/>
  <c r="I18" i="2"/>
  <c r="J18" i="2"/>
  <c r="K18" i="2"/>
  <c r="M18" i="2"/>
  <c r="O18" i="2" s="1"/>
  <c r="N18" i="2"/>
  <c r="Q18" i="2"/>
  <c r="R18" i="2"/>
  <c r="S18" i="2"/>
  <c r="T18" i="2"/>
  <c r="E19" i="2"/>
  <c r="M19" i="2"/>
  <c r="D22" i="2"/>
  <c r="E22" i="2"/>
  <c r="F22" i="2"/>
  <c r="G22" i="2"/>
  <c r="I22" i="2" s="1"/>
  <c r="J22" i="2"/>
  <c r="K22" i="2" s="1"/>
  <c r="M22" i="2"/>
  <c r="N22" i="2"/>
  <c r="O22" i="2"/>
  <c r="Q22" i="2"/>
  <c r="R22" i="2"/>
  <c r="S22" i="2"/>
  <c r="T22" i="2"/>
  <c r="D23" i="2"/>
  <c r="E23" i="2"/>
  <c r="F23" i="2"/>
  <c r="F30" i="2" s="1"/>
  <c r="G23" i="2"/>
  <c r="I23" i="2" s="1"/>
  <c r="J23" i="2"/>
  <c r="M23" i="2"/>
  <c r="N23" i="2"/>
  <c r="O23" i="2"/>
  <c r="Q23" i="2"/>
  <c r="Q30" i="2" s="1"/>
  <c r="R23" i="2"/>
  <c r="S23" i="2"/>
  <c r="T23" i="2"/>
  <c r="T30" i="2" s="1"/>
  <c r="D24" i="2"/>
  <c r="E24" i="2"/>
  <c r="F24" i="2"/>
  <c r="G24" i="2"/>
  <c r="I24" i="2"/>
  <c r="J24" i="2"/>
  <c r="M24" i="2"/>
  <c r="M30" i="2" s="1"/>
  <c r="N24" i="2"/>
  <c r="O24" i="2" s="1"/>
  <c r="O30" i="2" s="1"/>
  <c r="Q24" i="2"/>
  <c r="R24" i="2"/>
  <c r="S24" i="2"/>
  <c r="T24" i="2"/>
  <c r="D25" i="2"/>
  <c r="E25" i="2"/>
  <c r="F25" i="2"/>
  <c r="G25" i="2"/>
  <c r="I25" i="2" s="1"/>
  <c r="K25" i="2" s="1"/>
  <c r="J25" i="2"/>
  <c r="M25" i="2"/>
  <c r="N25" i="2"/>
  <c r="O25" i="2"/>
  <c r="Q25" i="2"/>
  <c r="R25" i="2"/>
  <c r="S25" i="2"/>
  <c r="T25" i="2"/>
  <c r="D26" i="2"/>
  <c r="E26" i="2"/>
  <c r="F26" i="2"/>
  <c r="G26" i="2"/>
  <c r="I26" i="2"/>
  <c r="J26" i="2"/>
  <c r="M26" i="2"/>
  <c r="N26" i="2"/>
  <c r="O26" i="2"/>
  <c r="Q26" i="2"/>
  <c r="R26" i="2"/>
  <c r="S26" i="2"/>
  <c r="T26" i="2"/>
  <c r="D27" i="2"/>
  <c r="D28" i="2"/>
  <c r="D29" i="2"/>
  <c r="E30" i="2"/>
  <c r="G30" i="2"/>
  <c r="R30" i="2"/>
  <c r="S30" i="2"/>
  <c r="E35" i="2"/>
  <c r="E43" i="2" s="1"/>
  <c r="F35" i="2"/>
  <c r="F43" i="2" s="1"/>
  <c r="G35" i="2"/>
  <c r="I35" i="2" s="1"/>
  <c r="J35" i="2"/>
  <c r="M35" i="2"/>
  <c r="M43" i="2" s="1"/>
  <c r="N35" i="2"/>
  <c r="O35" i="2"/>
  <c r="Q35" i="2"/>
  <c r="Q43" i="2" s="1"/>
  <c r="R35" i="2"/>
  <c r="S35" i="2"/>
  <c r="T35" i="2"/>
  <c r="E36" i="2"/>
  <c r="F36" i="2"/>
  <c r="G36" i="2"/>
  <c r="I36" i="2"/>
  <c r="K36" i="2" s="1"/>
  <c r="J36" i="2"/>
  <c r="M36" i="2"/>
  <c r="N36" i="2"/>
  <c r="O36" i="2"/>
  <c r="Q36" i="2"/>
  <c r="R36" i="2"/>
  <c r="S36" i="2"/>
  <c r="S43" i="2" s="1"/>
  <c r="T36" i="2"/>
  <c r="T43" i="2" s="1"/>
  <c r="E37" i="2"/>
  <c r="F37" i="2"/>
  <c r="G37" i="2"/>
  <c r="I37" i="2"/>
  <c r="K37" i="2" s="1"/>
  <c r="J37" i="2"/>
  <c r="M37" i="2"/>
  <c r="O37" i="2" s="1"/>
  <c r="N37" i="2"/>
  <c r="N43" i="2" s="1"/>
  <c r="Q37" i="2"/>
  <c r="R37" i="2"/>
  <c r="S37" i="2"/>
  <c r="T37" i="2"/>
  <c r="E38" i="2"/>
  <c r="F38" i="2"/>
  <c r="G38" i="2"/>
  <c r="I38" i="2" s="1"/>
  <c r="K38" i="2" s="1"/>
  <c r="J38" i="2"/>
  <c r="M38" i="2"/>
  <c r="O38" i="2" s="1"/>
  <c r="N38" i="2"/>
  <c r="Q38" i="2"/>
  <c r="R38" i="2"/>
  <c r="R43" i="2" s="1"/>
  <c r="S38" i="2"/>
  <c r="T38" i="2"/>
  <c r="E39" i="2"/>
  <c r="F39" i="2"/>
  <c r="G39" i="2"/>
  <c r="I39" i="2" s="1"/>
  <c r="K39" i="2" s="1"/>
  <c r="J39" i="2"/>
  <c r="M39" i="2"/>
  <c r="N39" i="2"/>
  <c r="O39" i="2"/>
  <c r="Q39" i="2"/>
  <c r="R39" i="2"/>
  <c r="S39" i="2"/>
  <c r="T39" i="2"/>
  <c r="E40" i="2"/>
  <c r="F40" i="2"/>
  <c r="G40" i="2"/>
  <c r="I40" i="2"/>
  <c r="J40" i="2"/>
  <c r="K40" i="2"/>
  <c r="M40" i="2"/>
  <c r="N40" i="2"/>
  <c r="O40" i="2"/>
  <c r="Q40" i="2"/>
  <c r="R40" i="2"/>
  <c r="S40" i="2"/>
  <c r="T40" i="2"/>
  <c r="E41" i="2"/>
  <c r="F41" i="2"/>
  <c r="G41" i="2"/>
  <c r="I41" i="2"/>
  <c r="K41" i="2" s="1"/>
  <c r="J41" i="2"/>
  <c r="M41" i="2"/>
  <c r="N41" i="2"/>
  <c r="O41" i="2"/>
  <c r="Q41" i="2"/>
  <c r="R41" i="2"/>
  <c r="S41" i="2"/>
  <c r="T41" i="2"/>
  <c r="E42" i="2"/>
  <c r="F42" i="2"/>
  <c r="G42" i="2"/>
  <c r="I42" i="2"/>
  <c r="K42" i="2" s="1"/>
  <c r="J42" i="2"/>
  <c r="M42" i="2"/>
  <c r="O42" i="2" s="1"/>
  <c r="N42" i="2"/>
  <c r="Q42" i="2"/>
  <c r="R42" i="2"/>
  <c r="S42" i="2"/>
  <c r="T42" i="2"/>
  <c r="E37" i="4"/>
  <c r="J43" i="2"/>
  <c r="G43" i="2"/>
  <c r="E4" i="2"/>
  <c r="H2" i="2"/>
  <c r="G2" i="2"/>
  <c r="G3" i="2" s="1"/>
  <c r="F2" i="2"/>
  <c r="F3" i="2" s="1"/>
  <c r="F13" i="2" s="1"/>
  <c r="H20" i="1"/>
  <c r="G20" i="1"/>
  <c r="F20" i="1"/>
  <c r="E9" i="1"/>
  <c r="H2" i="1"/>
  <c r="H3" i="1" s="1"/>
  <c r="H14" i="1" s="1"/>
  <c r="G11" i="5"/>
  <c r="D8" i="2" s="1"/>
  <c r="G10" i="5"/>
  <c r="G9" i="5"/>
  <c r="K26" i="2" l="1"/>
  <c r="K24" i="2"/>
  <c r="O19" i="2"/>
  <c r="G2" i="1"/>
  <c r="G3" i="1" s="1"/>
  <c r="G14" i="1" s="1"/>
  <c r="M32" i="2"/>
  <c r="M44" i="2" s="1"/>
  <c r="E32" i="2"/>
  <c r="E44" i="2" s="1"/>
  <c r="E45" i="2" s="1"/>
  <c r="K35" i="2"/>
  <c r="K43" i="2" s="1"/>
  <c r="I43" i="2"/>
  <c r="E39" i="4"/>
  <c r="O43" i="2"/>
  <c r="K19" i="2"/>
  <c r="K30" i="2"/>
  <c r="F32" i="2"/>
  <c r="F44" i="2" s="1"/>
  <c r="F45" i="2" s="1"/>
  <c r="R32" i="2"/>
  <c r="R44" i="2" s="1"/>
  <c r="R45" i="2" s="1"/>
  <c r="I30" i="2"/>
  <c r="K23" i="2"/>
  <c r="Q32" i="2"/>
  <c r="Q44" i="2" s="1"/>
  <c r="Q45" i="2"/>
  <c r="T32" i="2"/>
  <c r="T44" i="2" s="1"/>
  <c r="T45" i="2" s="1"/>
  <c r="I19" i="2"/>
  <c r="N19" i="2"/>
  <c r="N30" i="2"/>
  <c r="I20" i="1"/>
  <c r="J30" i="2"/>
  <c r="J32" i="2" s="1"/>
  <c r="J44" i="2" s="1"/>
  <c r="J45" i="2" s="1"/>
  <c r="G19" i="2"/>
  <c r="G32" i="2" s="1"/>
  <c r="G44" i="2" s="1"/>
  <c r="G45" i="2" s="1"/>
  <c r="M3" i="2"/>
  <c r="M11" i="2" s="1"/>
  <c r="J3" i="2"/>
  <c r="G13" i="2"/>
  <c r="T3" i="2"/>
  <c r="S3" i="2" s="1"/>
  <c r="I11" i="2"/>
  <c r="D9" i="2"/>
  <c r="E43" i="4"/>
  <c r="E10" i="1"/>
  <c r="E2" i="2"/>
  <c r="E3" i="2" s="1"/>
  <c r="E13" i="2" s="1"/>
  <c r="D7" i="4"/>
  <c r="J2" i="2"/>
  <c r="M2" i="2"/>
  <c r="F4" i="1"/>
  <c r="F2" i="1" l="1"/>
  <c r="F3" i="1" s="1"/>
  <c r="F14" i="1" s="1"/>
  <c r="N32" i="2"/>
  <c r="I32" i="2"/>
  <c r="K32" i="2" s="1"/>
  <c r="M45" i="2"/>
  <c r="I44" i="2"/>
  <c r="R3" i="2"/>
  <c r="T2" i="2"/>
  <c r="T13" i="2" s="1"/>
  <c r="N44" i="2" l="1"/>
  <c r="O32" i="2"/>
  <c r="Q3" i="2"/>
  <c r="S2" i="2"/>
  <c r="S13" i="2" s="1"/>
  <c r="K44" i="2"/>
  <c r="I45" i="2"/>
  <c r="N45" i="2" l="1"/>
  <c r="O44" i="2"/>
  <c r="P3" i="2"/>
  <c r="R2" i="2"/>
  <c r="R13" i="2" s="1"/>
  <c r="Q2" i="2" l="1"/>
  <c r="Q13" i="2" s="1"/>
  <c r="O3" i="2"/>
</calcChain>
</file>

<file path=xl/sharedStrings.xml><?xml version="1.0" encoding="utf-8"?>
<sst xmlns="http://schemas.openxmlformats.org/spreadsheetml/2006/main" count="1766" uniqueCount="546">
  <si>
    <t>Other Revenue</t>
  </si>
  <si>
    <t>Total Revenue</t>
  </si>
  <si>
    <t>Revenue</t>
  </si>
  <si>
    <t>Department</t>
  </si>
  <si>
    <t>Start date</t>
  </si>
  <si>
    <t>Hide</t>
  </si>
  <si>
    <t>Trend Results</t>
  </si>
  <si>
    <t>Jobs</t>
  </si>
  <si>
    <t>Resources</t>
  </si>
  <si>
    <t>Material</t>
  </si>
  <si>
    <t>Retail</t>
  </si>
  <si>
    <t>Income Statement</t>
  </si>
  <si>
    <t>Direct Costs</t>
  </si>
  <si>
    <t>Total Direct Costs</t>
  </si>
  <si>
    <t>Gross Profit</t>
  </si>
  <si>
    <t>General Expenses</t>
  </si>
  <si>
    <t>Selling Expenses</t>
  </si>
  <si>
    <t>Personnel Expenses</t>
  </si>
  <si>
    <t>Vehicle Expenses</t>
  </si>
  <si>
    <t>Computer Expenses</t>
  </si>
  <si>
    <t>Building Maint. Expenses</t>
  </si>
  <si>
    <t>Administrative</t>
  </si>
  <si>
    <t>Fixed Asset Depreciation</t>
  </si>
  <si>
    <t>Other General Expenses</t>
  </si>
  <si>
    <t>Departmental Profit</t>
  </si>
  <si>
    <t>Departmental Profit %</t>
  </si>
  <si>
    <t>Actual</t>
  </si>
  <si>
    <t>Budget</t>
  </si>
  <si>
    <t>Variance</t>
  </si>
  <si>
    <t>Quarterly Results</t>
  </si>
  <si>
    <t>Cash Flow Statement</t>
  </si>
  <si>
    <t>CASH FLOWS FROM OPERATING ACTIVITIES:</t>
  </si>
  <si>
    <t xml:space="preserve">Adjustments to reconcile net income (loss) to </t>
  </si>
  <si>
    <t>Total net income (loss)</t>
  </si>
  <si>
    <t>Depreciation</t>
  </si>
  <si>
    <t>Changes in Current Assets and Liabilities</t>
  </si>
  <si>
    <t>CASH FLOWS FROM INVESTING ACTIVITES:</t>
  </si>
  <si>
    <t>Net cash from (used by) investing activities</t>
  </si>
  <si>
    <t>Net Cash from (used by) operating activities</t>
  </si>
  <si>
    <t>cash from (used by) operating activities:</t>
  </si>
  <si>
    <t>CASH FLOWS FROM FINANCING ACTIVITIES:</t>
  </si>
  <si>
    <t>Net cash from (used by) financing activities</t>
  </si>
  <si>
    <t>NET INCREASE IN CASH AND CASH EQUIVALENTS</t>
  </si>
  <si>
    <t>Total cash at beginning of year</t>
  </si>
  <si>
    <t>TOTAL CASH AT END OF PERIOD</t>
  </si>
  <si>
    <t>18100..18120</t>
  </si>
  <si>
    <t>16300|17200|18200</t>
  </si>
  <si>
    <t>16200..16220|17100..17120</t>
  </si>
  <si>
    <t>fit</t>
  </si>
  <si>
    <t>Financial Analysis</t>
  </si>
  <si>
    <t>Filters:</t>
  </si>
  <si>
    <t>Start date of analysis:</t>
  </si>
  <si>
    <t>Department to analyze:</t>
  </si>
  <si>
    <t>Auto+Hide+Values</t>
  </si>
  <si>
    <t>Option</t>
  </si>
  <si>
    <t>Title</t>
  </si>
  <si>
    <t>Value</t>
  </si>
  <si>
    <t xml:space="preserve">Report Readme </t>
  </si>
  <si>
    <t>About the report</t>
  </si>
  <si>
    <t>Version of Jet</t>
  </si>
  <si>
    <t>Services</t>
  </si>
  <si>
    <t>Training</t>
  </si>
  <si>
    <t>Sales</t>
  </si>
  <si>
    <t>Copyrights</t>
  </si>
  <si>
    <t>52000..52999</t>
  </si>
  <si>
    <t>61000..61400</t>
  </si>
  <si>
    <t>62000..62950</t>
  </si>
  <si>
    <t>64000..64400</t>
  </si>
  <si>
    <t>65000..65400</t>
  </si>
  <si>
    <t>65500..65900</t>
  </si>
  <si>
    <t>66000..66400</t>
  </si>
  <si>
    <t>67000..67600</t>
  </si>
  <si>
    <t>The list of accounts in column "C" need to match the chart of accounts for the company for this report to operate correctly</t>
  </si>
  <si>
    <t>Lookup</t>
  </si>
  <si>
    <t>25000..25400</t>
  </si>
  <si>
    <t>30100|30500</t>
  </si>
  <si>
    <t>41300..41500</t>
  </si>
  <si>
    <t>45000..49999</t>
  </si>
  <si>
    <t>The list of accounts in column "B" need to match the chart of accounts for the company for this report to operate correctly</t>
  </si>
  <si>
    <t>The account numbers in the "Dept Sales Trend", "Dept IS"and "Cash Flow" worksheet must be revised to match the chart of accounts for the database before this report will work on a customized database.</t>
  </si>
  <si>
    <t>Questions About This Report</t>
  </si>
  <si>
    <t>Click here to contact sample reports</t>
  </si>
  <si>
    <t>Click here for downloads</t>
  </si>
  <si>
    <t>Tooltip</t>
  </si>
  <si>
    <t>Enter a date using the date format used in your NAV instance</t>
  </si>
  <si>
    <t>This report contains financial details for a company including revenue, income statement, cash flow and trends over time.  The information can be filtered by Department. 
Dates used in filtering must be formatted to the same format used in NAV.</t>
  </si>
  <si>
    <t>Getting Help</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</si>
  <si>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</si>
  <si>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</si>
  <si>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</si>
  <si>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</si>
  <si>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</si>
  <si>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</si>
  <si>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</si>
  <si>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</si>
  <si>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</si>
  <si>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</si>
  <si>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</si>
  <si>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</si>
  <si>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</si>
  <si>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</si>
  <si>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</si>
  <si>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My Company Name</t>
  </si>
  <si>
    <t>Start date of fiscal year:</t>
  </si>
  <si>
    <t>�</t>
  </si>
  <si>
    <t>="5/1/2019"</t>
  </si>
  <si>
    <t>="1/1/2019"</t>
  </si>
  <si>
    <t>="CORPORATE"</t>
  </si>
  <si>
    <t>=NL("Lookup","349 Dimension Value","2 Code","1 Dimension Code","BUSINESSGROUP")</t>
  </si>
  <si>
    <t>=DATE(IF(MONTH(G2)&lt;=12,YEAR(G2),YEAR(G2)-1),IF(MONTH(G2)&lt;=12,MONTH(G2)-1,MONTH(G2)-11),DAY(G2))</t>
  </si>
  <si>
    <t>=DATE(IF(MONTH(H2)&lt;=12,YEAR(H2),YEAR(H2)-1),IF(MONTH(H2)&lt;=12,MONTH(H2)-1,MONTH(H2)-11),DAY(H2))</t>
  </si>
  <si>
    <t>=StartDate</t>
  </si>
  <si>
    <t>=EOMONTH(F2,0)</t>
  </si>
  <si>
    <t>=EOMONTH(G2,0)</t>
  </si>
  <si>
    <t>=EOMONTH(H2,0)</t>
  </si>
  <si>
    <t>=Department</t>
  </si>
  <si>
    <t>=CONCATENATE(Department," - Department Total")</t>
  </si>
  <si>
    <t>="For the Three Months Ending " &amp; TEXT($H$3,"mmmm dd yyyy")</t>
  </si>
  <si>
    <t>=F3</t>
  </si>
  <si>
    <t>=G3</t>
  </si>
  <si>
    <t>=H3</t>
  </si>
  <si>
    <t>42500</t>
  </si>
  <si>
    <t>43500</t>
  </si>
  <si>
    <t>44500</t>
  </si>
  <si>
    <t>=SUM(F15:F19)</t>
  </si>
  <si>
    <t>=SUM(G15:G19)</t>
  </si>
  <si>
    <t>=SUM(H15:H19)</t>
  </si>
  <si>
    <t>=SUM(F20:H20)</t>
  </si>
  <si>
    <t>=DATE(IF(MONTH(F2)&lt;=12,YEAR(F2),YEAR(F2)-1),IF(MONTH(F2)&lt;=12,MONTH(F2)-1,MONTH(F2)-11),DAY(F2))</t>
  </si>
  <si>
    <t>=DATE(IF(MONTH(G2)&lt;12,YEAR(G2),YEAR(G2)+1),IF(MONTH(G2)&lt;12,MONTH(G2)+1,MONTH(G2)-11),DAY(G2))</t>
  </si>
  <si>
    <t>=G2</t>
  </si>
  <si>
    <t>=YearStartDate</t>
  </si>
  <si>
    <t>=P3+1</t>
  </si>
  <si>
    <t>=Q3+1</t>
  </si>
  <si>
    <t>=R3+1</t>
  </si>
  <si>
    <t>=S3+1</t>
  </si>
  <si>
    <t>=EOMONTH(E2,0)</t>
  </si>
  <si>
    <t>=EOMONTH(P3,-3)</t>
  </si>
  <si>
    <t>=EOMONTH(Q3,-3)</t>
  </si>
  <si>
    <t>=EOMONTH(R3,-3)</t>
  </si>
  <si>
    <t>=EOMONTH(S3,-3)</t>
  </si>
  <si>
    <t>=EOMONTH(T3,-3)</t>
  </si>
  <si>
    <t>="For the Month Ending " &amp; TEXT($G$3,"mmmm dd yyyy")</t>
  </si>
  <si>
    <t>=CONCATENATE("Current Month - ",TEXT(G3,"mmmm"))</t>
  </si>
  <si>
    <t>=CONCATENATE("Year-to-Date - ",TEXT(M3,"mmmm"))</t>
  </si>
  <si>
    <t>=E3</t>
  </si>
  <si>
    <t>=CONCATENATE(TEXT(Q2,"mmm"),"-",TEXT(Q3,"mmm"))</t>
  </si>
  <si>
    <t>=CONCATENATE(TEXT(R2,"mmm"),"-",TEXT(R3,"mmm"))</t>
  </si>
  <si>
    <t>=CONCATENATE(TEXT(S2,"mmm"),"-",TEXT(S3,"mmm"))</t>
  </si>
  <si>
    <t>=CONCATENATE(TEXT(T2,"mmm"),"-",TEXT(T3,"mmm"))</t>
  </si>
  <si>
    <t>44100</t>
  </si>
  <si>
    <t>=G15</t>
  </si>
  <si>
    <t>=I15-J15</t>
  </si>
  <si>
    <t>=-GL("Budget",$C15,M$2,M$3,,Department)</t>
  </si>
  <si>
    <t>=M15-N15</t>
  </si>
  <si>
    <t>44200</t>
  </si>
  <si>
    <t>=G16</t>
  </si>
  <si>
    <t>=I16-J16</t>
  </si>
  <si>
    <t>=-GL("Balance",$C16,M$2,M$3,,Department)</t>
  </si>
  <si>
    <t>=-GL("Budget",$C16,M$2,M$3,,Department)</t>
  </si>
  <si>
    <t>=M16-N16</t>
  </si>
  <si>
    <t>45100</t>
  </si>
  <si>
    <t>=G17</t>
  </si>
  <si>
    <t>=I17-J17</t>
  </si>
  <si>
    <t>=-GL("Balance",$C17,M$2,M$3,,Department)</t>
  </si>
  <si>
    <t>=-GL("Budget",$C17,M$2,M$3,,Department)</t>
  </si>
  <si>
    <t>=M17-N17</t>
  </si>
  <si>
    <t>45200</t>
  </si>
  <si>
    <t>=G18</t>
  </si>
  <si>
    <t>=I18-J18</t>
  </si>
  <si>
    <t>=-GL("Balance",$C18,M$2,M$3,,Department)</t>
  </si>
  <si>
    <t>=-GL("Budget",$C18,M$2,M$3,,Department)</t>
  </si>
  <si>
    <t>=M18-N18</t>
  </si>
  <si>
    <t>=SUM(E14:E18)</t>
  </si>
  <si>
    <t>=SUM(F14:F18)</t>
  </si>
  <si>
    <t>=SUM(G14:G18)</t>
  </si>
  <si>
    <t>=SUM(I14:I18)</t>
  </si>
  <si>
    <t>=SUM(J14:J18)</t>
  </si>
  <si>
    <t>=SUM(K14:K18)</t>
  </si>
  <si>
    <t>=SUM(M14:M18)</t>
  </si>
  <si>
    <t>=SUM(N14:N18)</t>
  </si>
  <si>
    <t>=SUM(O14:O18)</t>
  </si>
  <si>
    <t>=SUM(Q14:Q18)</t>
  </si>
  <si>
    <t>=SUM(R14:R18)</t>
  </si>
  <si>
    <t>=SUM(S14:S18)</t>
  </si>
  <si>
    <t>=SUM(T14:T18)</t>
  </si>
  <si>
    <t>=G22</t>
  </si>
  <si>
    <t>=J22-I22</t>
  </si>
  <si>
    <t>=GL("Balance",$C22,M$2,M$3,,Department)</t>
  </si>
  <si>
    <t>=GL("Budget",$C22,M$2,M$3,,Department)</t>
  </si>
  <si>
    <t>=N22-M22</t>
  </si>
  <si>
    <t>54100</t>
  </si>
  <si>
    <t>=G23</t>
  </si>
  <si>
    <t>=J23-I23</t>
  </si>
  <si>
    <t>=GL("Balance",$C23,M$2,M$3,,Department)</t>
  </si>
  <si>
    <t>=GL("Budget",$C23,M$2,M$3,,Department)</t>
  </si>
  <si>
    <t>=N23-M23</t>
  </si>
  <si>
    <t>54400</t>
  </si>
  <si>
    <t>=G24</t>
  </si>
  <si>
    <t>=J24-I24</t>
  </si>
  <si>
    <t>=GL("Balance",$C24,M$2,M$3,,Department)</t>
  </si>
  <si>
    <t>=GL("Budget",$C24,M$2,M$3,,Department)</t>
  </si>
  <si>
    <t>=N24-M24</t>
  </si>
  <si>
    <t>54500</t>
  </si>
  <si>
    <t>=G25</t>
  </si>
  <si>
    <t>=J25-I25</t>
  </si>
  <si>
    <t>=GL("Balance",$C25,M$2,M$3,,Department)</t>
  </si>
  <si>
    <t>=GL("Budget",$C25,M$2,M$3,,Department)</t>
  </si>
  <si>
    <t>=N25-M25</t>
  </si>
  <si>
    <t>54702</t>
  </si>
  <si>
    <t>=G26</t>
  </si>
  <si>
    <t>=J26-I26</t>
  </si>
  <si>
    <t>=GL("Balance",$C26,M$2,M$3,,Department)</t>
  </si>
  <si>
    <t>=GL("Budget",$C26,M$2,M$3,,Department)</t>
  </si>
  <si>
    <t>=N26-M26</t>
  </si>
  <si>
    <t>54703</t>
  </si>
  <si>
    <t>54710</t>
  </si>
  <si>
    <t>54800</t>
  </si>
  <si>
    <t>=SUM(E21:E26)</t>
  </si>
  <si>
    <t>=SUM(F21:F26)</t>
  </si>
  <si>
    <t>=SUM(G21:G26)</t>
  </si>
  <si>
    <t>=SUM(I21:I26)</t>
  </si>
  <si>
    <t>=SUM(J21:J26)</t>
  </si>
  <si>
    <t>=SUM(K21:K26)</t>
  </si>
  <si>
    <t>=SUM(M21:M26)</t>
  </si>
  <si>
    <t>=SUM(N21:N26)</t>
  </si>
  <si>
    <t>=SUM(O21:O26)</t>
  </si>
  <si>
    <t>=SUM(Q21:Q26)</t>
  </si>
  <si>
    <t>=SUM(R21:R26)</t>
  </si>
  <si>
    <t>=SUM(S21:S26)</t>
  </si>
  <si>
    <t>=SUM(T21:T26)</t>
  </si>
  <si>
    <t>=E19-E30</t>
  </si>
  <si>
    <t>=F19-F30</t>
  </si>
  <si>
    <t>=G19-G30</t>
  </si>
  <si>
    <t>=I19-I30</t>
  </si>
  <si>
    <t>=J19-J30</t>
  </si>
  <si>
    <t>=I32-J32</t>
  </si>
  <si>
    <t>=M19-M30</t>
  </si>
  <si>
    <t>=N19-N30</t>
  </si>
  <si>
    <t>=M32-N32</t>
  </si>
  <si>
    <t>=Q19-Q30</t>
  </si>
  <si>
    <t>=R19-R30</t>
  </si>
  <si>
    <t>=S19-S30</t>
  </si>
  <si>
    <t>=T19-T30</t>
  </si>
  <si>
    <t>=G35</t>
  </si>
  <si>
    <t>=I35-J35</t>
  </si>
  <si>
    <t>=GL("Balance",$C35,M$2,M$3,,Department)</t>
  </si>
  <si>
    <t>=GL("Budget",$C35,M$2,M$3,,Department)</t>
  </si>
  <si>
    <t>=M35-N35</t>
  </si>
  <si>
    <t>=G36</t>
  </si>
  <si>
    <t>=I36-J36</t>
  </si>
  <si>
    <t>=GL("Balance",$C36,M$2,M$3,,Department)</t>
  </si>
  <si>
    <t>=GL("Budget",$C36,M$2,M$3,,Department)</t>
  </si>
  <si>
    <t>=M36-N36</t>
  </si>
  <si>
    <t>63500</t>
  </si>
  <si>
    <t>=G37</t>
  </si>
  <si>
    <t>=I37-J37</t>
  </si>
  <si>
    <t>=GL("Balance",$C37,M$2,M$3,,Department)</t>
  </si>
  <si>
    <t>=GL("Budget",$C37,M$2,M$3,,Department)</t>
  </si>
  <si>
    <t>=M37-N37</t>
  </si>
  <si>
    <t>=G38</t>
  </si>
  <si>
    <t>=I38-J38</t>
  </si>
  <si>
    <t>=GL("Balance",$C38,M$2,M$3,,Department)</t>
  </si>
  <si>
    <t>=GL("Budget",$C38,M$2,M$3,,Department)</t>
  </si>
  <si>
    <t>=M38-N38</t>
  </si>
  <si>
    <t>=G39</t>
  </si>
  <si>
    <t>=I39-J39</t>
  </si>
  <si>
    <t>=GL("Balance",$C39,M$2,M$3,,Department)</t>
  </si>
  <si>
    <t>=GL("Budget",$C39,M$2,M$3,,Department)</t>
  </si>
  <si>
    <t>=M39-N39</t>
  </si>
  <si>
    <t>=G40</t>
  </si>
  <si>
    <t>=I40-J40</t>
  </si>
  <si>
    <t>=GL("Balance",$C40,M$2,M$3,,Department)</t>
  </si>
  <si>
    <t>=GL("Budget",$C40,M$2,M$3,,Department)</t>
  </si>
  <si>
    <t>=M40-N40</t>
  </si>
  <si>
    <t>=G41</t>
  </si>
  <si>
    <t>=I41-J41</t>
  </si>
  <si>
    <t>=GL("Balance",$C41,M$2,M$3,,Department)</t>
  </si>
  <si>
    <t>=GL("Budget",$C41,M$2,M$3,,Department)</t>
  </si>
  <si>
    <t>=M41-N41</t>
  </si>
  <si>
    <t>=G42</t>
  </si>
  <si>
    <t>=I42-J42</t>
  </si>
  <si>
    <t>=GL("Balance",$C42,M$2,M$3,,Department)</t>
  </si>
  <si>
    <t>=GL("Budget",$C42,M$2,M$3,,Department)</t>
  </si>
  <si>
    <t>=M42-N42</t>
  </si>
  <si>
    <t>=SUM(E34:E42)</t>
  </si>
  <si>
    <t>=SUM(F34:F42)</t>
  </si>
  <si>
    <t>=SUM(G34:G42)</t>
  </si>
  <si>
    <t>=SUM(I34:I42)</t>
  </si>
  <si>
    <t>=SUM(J34:J42)</t>
  </si>
  <si>
    <t>=SUM(K34:K42)</t>
  </si>
  <si>
    <t>=SUM(M34:M42)</t>
  </si>
  <si>
    <t>=SUM(N34:N42)</t>
  </si>
  <si>
    <t>=SUM(O34:O42)</t>
  </si>
  <si>
    <t>=SUM(Q34:Q42)</t>
  </si>
  <si>
    <t>=SUM(R34:R42)</t>
  </si>
  <si>
    <t>=SUM(S34:S42)</t>
  </si>
  <si>
    <t>=SUM(T34:T42)</t>
  </si>
  <si>
    <t>=E32-E43</t>
  </si>
  <si>
    <t>=F32-F43</t>
  </si>
  <si>
    <t>=G32-G43</t>
  </si>
  <si>
    <t>=I32-I43</t>
  </si>
  <si>
    <t>=J32-J43</t>
  </si>
  <si>
    <t>=I44-J44</t>
  </si>
  <si>
    <t>=M32-M43</t>
  </si>
  <si>
    <t>=N32-N43</t>
  </si>
  <si>
    <t>=M44-N44</t>
  </si>
  <si>
    <t>=Q32-Q43</t>
  </si>
  <si>
    <t>=R32-R43</t>
  </si>
  <si>
    <t>=S32-S43</t>
  </si>
  <si>
    <t>=T32-T43</t>
  </si>
  <si>
    <t>=E44/E19</t>
  </si>
  <si>
    <t>=F44/F19</t>
  </si>
  <si>
    <t>=G44/G19</t>
  </si>
  <si>
    <t>=I44/I19</t>
  </si>
  <si>
    <t>=J44/J19</t>
  </si>
  <si>
    <t>=M44/M19</t>
  </si>
  <si>
    <t>=N44/N19</t>
  </si>
  <si>
    <t>=IF(Q19=0,"-",Q44/Q19)</t>
  </si>
  <si>
    <t>=IF(R19=0,"-",R44/R19)</t>
  </si>
  <si>
    <t>=S44/S19</t>
  </si>
  <si>
    <t>=T44/T19</t>
  </si>
  <si>
    <t>="For the "&amp;TEXT(MONTH('Dept Sales Trend'!H3)-MONTH(YearStartDate)+1,"#")&amp;" Months Ending "&amp;TEXT('Dept Sales Trend'!H3,"mmmm dd yyyy")</t>
  </si>
  <si>
    <t>99999</t>
  </si>
  <si>
    <t>=-GL("Balance",C10,YearStartDate,'Dept Sales Trend'!H3)</t>
  </si>
  <si>
    <t>=-GL("Balance",C14,YearStartDate,'Dept Sales Trend'!H3)</t>
  </si>
  <si>
    <t>=-GL("Balance",C17,YearStartDate,'Dept Sales Trend'!H3)</t>
  </si>
  <si>
    <t>12300</t>
  </si>
  <si>
    <t>=-GL("Balance",C18,YearStartDate,'Dept Sales Trend'!H3)</t>
  </si>
  <si>
    <t>13400</t>
  </si>
  <si>
    <t>=-GL("Balance",C19,YearStartDate,'Dept Sales Trend'!H3)</t>
  </si>
  <si>
    <t>14500</t>
  </si>
  <si>
    <t>=-GL("Balance",C20,YearStartDate,'Dept Sales Trend'!H3)</t>
  </si>
  <si>
    <t>13540</t>
  </si>
  <si>
    <t>=-GL("Balance",C21,YearStartDate,'Dept Sales Trend'!H3)</t>
  </si>
  <si>
    <t>22500</t>
  </si>
  <si>
    <t>=-GL("Balance",C22,YearStartDate,'Dept Sales Trend'!H3)</t>
  </si>
  <si>
    <t>22100</t>
  </si>
  <si>
    <t>=-GL("Balance",C23,YearStartDate,'Dept Sales Trend'!H3)</t>
  </si>
  <si>
    <t>23900</t>
  </si>
  <si>
    <t>=-GL("Balance",C24,YearStartDate,'Dept Sales Trend'!H3)</t>
  </si>
  <si>
    <t>24400</t>
  </si>
  <si>
    <t>=-GL("Balance",C25,YearStartDate,'Dept Sales Trend'!H3)</t>
  </si>
  <si>
    <t>=SUM(E9:E25)</t>
  </si>
  <si>
    <t>=-GL("Balance",C29,YearStartDate,'Dept Sales Trend'!H3)</t>
  </si>
  <si>
    <t>=-GL("Balance",C30,YearStartDate,'Dept Sales Trend'!H3)</t>
  </si>
  <si>
    <t>=SUM(E28:E30)</t>
  </si>
  <si>
    <t>=-GL("Balance",C34,YearStartDate,'Dept Sales Trend'!H3)</t>
  </si>
  <si>
    <t>=-GL("Balance",C35,YearStartDate,'Dept Sales Trend'!H3)</t>
  </si>
  <si>
    <t>30200</t>
  </si>
  <si>
    <t>=-GL("Balance",C36,YearStartDate,'Dept Sales Trend'!H3)</t>
  </si>
  <si>
    <t>=SUM(E33:E36)</t>
  </si>
  <si>
    <t>=E26+E31+E37</t>
  </si>
  <si>
    <t>11700</t>
  </si>
  <si>
    <t>=E39+E41</t>
  </si>
  <si>
    <t>=NL(,"15 G/L Account","2 Name","1 No.",C15)</t>
  </si>
  <si>
    <t>=-GL("Balance",$C15,E$2,E$3,,Department)</t>
  </si>
  <si>
    <t>=-GL("Balance",$C15,F$2,F$3,,Department)</t>
  </si>
  <si>
    <t>=-GL("Balance",$C15,G$2,G$3,,Department)</t>
  </si>
  <si>
    <t>=-GL("Budget",$C15,J$2,J$3,,Department)</t>
  </si>
  <si>
    <t>=-GL("Balance",$C15,M$2,M$3,,Department)</t>
  </si>
  <si>
    <t>=-GL("Balance",$C15,Q$2,Q$3,,Department)</t>
  </si>
  <si>
    <t>=-GL("Balance",$C15,R$2,R$3,,Department)</t>
  </si>
  <si>
    <t>=-GL("Balance",$C15,S$2,S$3,,Department)</t>
  </si>
  <si>
    <t>=-GL("Balance",$C15,T$2,T$3,,Department)</t>
  </si>
  <si>
    <t>=NL(,"15 G/L Account","2 Name","1 No.",C16)</t>
  </si>
  <si>
    <t>=-GL("Balance",$C16,E$2,E$3,,Department)</t>
  </si>
  <si>
    <t>=-GL("Balance",$C16,F$2,F$3,,Department)</t>
  </si>
  <si>
    <t>=-GL("Balance",$C16,G$2,G$3,,Department)</t>
  </si>
  <si>
    <t>=-GL("Budget",$C16,J$2,J$3,,Department)</t>
  </si>
  <si>
    <t>=-GL("Balance",$C16,Q$2,Q$3,,Department)</t>
  </si>
  <si>
    <t>=-GL("Balance",$C16,R$2,R$3,,Department)</t>
  </si>
  <si>
    <t>=-GL("Balance",$C16,S$2,S$3,,Department)</t>
  </si>
  <si>
    <t>=-GL("Balance",$C16,T$2,T$3,,Department)</t>
  </si>
  <si>
    <t>=NL(,"15 G/L Account","2 Name","1 No.",C17)</t>
  </si>
  <si>
    <t>=-GL("Balance",$C17,E$2,E$3,,Department)</t>
  </si>
  <si>
    <t>=-GL("Balance",$C17,F$2,F$3,,Department)</t>
  </si>
  <si>
    <t>=-GL("Balance",$C17,G$2,G$3,,Department)</t>
  </si>
  <si>
    <t>=-GL("Budget",$C17,J$2,J$3,,Department)</t>
  </si>
  <si>
    <t>=-GL("Balance",$C17,Q$2,Q$3,,Department)</t>
  </si>
  <si>
    <t>=-GL("Balance",$C17,R$2,R$3,,Department)</t>
  </si>
  <si>
    <t>=-GL("Balance",$C17,S$2,S$3,,Department)</t>
  </si>
  <si>
    <t>=-GL("Balance",$C17,T$2,T$3,,Department)</t>
  </si>
  <si>
    <t>=NL(,"15 G/L Account","2 Name","1 No.",C18)</t>
  </si>
  <si>
    <t>=-GL("Balance",$C18,E$2,E$3,,Department)</t>
  </si>
  <si>
    <t>=-GL("Balance",$C18,F$2,F$3,,Department)</t>
  </si>
  <si>
    <t>=-GL("Balance",$C18,G$2,G$3,,Department)</t>
  </si>
  <si>
    <t>=-GL("Budget",$C18,J$2,J$3,,Department)</t>
  </si>
  <si>
    <t>=-GL("Balance",$C18,Q$2,Q$3,,Department)</t>
  </si>
  <si>
    <t>=-GL("Balance",$C18,R$2,R$3,,Department)</t>
  </si>
  <si>
    <t>=-GL("Balance",$C18,S$2,S$3,,Department)</t>
  </si>
  <si>
    <t>=-GL("Balance",$C18,T$2,T$3,,Department)</t>
  </si>
  <si>
    <t>=NL(,"15 G/L Account","2 Name","1 No.",C22)</t>
  </si>
  <si>
    <t>=GL("Balance",$C22,E$2,E$3,,Department)</t>
  </si>
  <si>
    <t>=GL("Balance",$C22,F$2,F$3,,Department)</t>
  </si>
  <si>
    <t>=GL("Balance",$C22,G$2,G$3,,Department)</t>
  </si>
  <si>
    <t>=GL("Budget",$C22,J$2,J$3,,Department)</t>
  </si>
  <si>
    <t>=GL("Balance",$C22,Q$2,Q$3,,Department)</t>
  </si>
  <si>
    <t>=GL("Balance",$C22,R$2,R$3,,Department)</t>
  </si>
  <si>
    <t>=GL("Balance",$C22,S$2,S$3,,Department)</t>
  </si>
  <si>
    <t>=GL("Balance",$C22,T$2,T$3,,Department)</t>
  </si>
  <si>
    <t>=NL(,"15 G/L Account","2 Name","1 No.",C23)</t>
  </si>
  <si>
    <t>=GL("Balance",$C23,E$2,E$3,,Department)</t>
  </si>
  <si>
    <t>=GL("Balance",$C23,F$2,F$3,,Department)</t>
  </si>
  <si>
    <t>=GL("Balance",$C23,G$2,G$3,,Department)</t>
  </si>
  <si>
    <t>=GL("Budget",$C23,J$2,J$3,,Department)</t>
  </si>
  <si>
    <t>=GL("Balance",$C23,Q$2,Q$3,,Department)</t>
  </si>
  <si>
    <t>=GL("Balance",$C23,R$2,R$3,,Department)</t>
  </si>
  <si>
    <t>=GL("Balance",$C23,S$2,S$3,,Department)</t>
  </si>
  <si>
    <t>=GL("Balance",$C23,T$2,T$3,,Department)</t>
  </si>
  <si>
    <t>=NL(,"15 G/L Account","2 Name","1 No.",C24)</t>
  </si>
  <si>
    <t>=GL("Balance",$C24,E$2,E$3,,Department)</t>
  </si>
  <si>
    <t>=GL("Balance",$C24,F$2,F$3,,Department)</t>
  </si>
  <si>
    <t>=GL("Balance",$C24,G$2,G$3,,Department)</t>
  </si>
  <si>
    <t>=GL("Budget",$C24,J$2,J$3,,Department)</t>
  </si>
  <si>
    <t>=GL("Balance",$C24,Q$2,Q$3,,Department)</t>
  </si>
  <si>
    <t>=GL("Balance",$C24,R$2,R$3,,Department)</t>
  </si>
  <si>
    <t>=GL("Balance",$C24,S$2,S$3,,Department)</t>
  </si>
  <si>
    <t>=GL("Balance",$C24,T$2,T$3,,Department)</t>
  </si>
  <si>
    <t>=NL(,"15 G/L Account","2 Name","1 No.",C25)</t>
  </si>
  <si>
    <t>=GL("Balance",$C25,E$2,E$3,,Department)</t>
  </si>
  <si>
    <t>=GL("Balance",$C25,F$2,F$3,,Department)</t>
  </si>
  <si>
    <t>=GL("Balance",$C25,G$2,G$3,,Department)</t>
  </si>
  <si>
    <t>=GL("Budget",$C25,J$2,J$3,,Department)</t>
  </si>
  <si>
    <t>=GL("Balance",$C25,Q$2,Q$3,,Department)</t>
  </si>
  <si>
    <t>=GL("Balance",$C25,R$2,R$3,,Department)</t>
  </si>
  <si>
    <t>=GL("Balance",$C25,S$2,S$3,,Department)</t>
  </si>
  <si>
    <t>=GL("Balance",$C25,T$2,T$3,,Department)</t>
  </si>
  <si>
    <t>=NL(,"15 G/L Account","2 Name","1 No.",C26)</t>
  </si>
  <si>
    <t>=GL("Balance",$C26,E$2,E$3,,Department)</t>
  </si>
  <si>
    <t>=GL("Balance",$C26,F$2,F$3,,Department)</t>
  </si>
  <si>
    <t>=GL("Balance",$C26,G$2,G$3,,Department)</t>
  </si>
  <si>
    <t>=GL("Budget",$C26,J$2,J$3,,Department)</t>
  </si>
  <si>
    <t>=GL("Balance",$C26,Q$2,Q$3,,Department)</t>
  </si>
  <si>
    <t>=GL("Balance",$C26,R$2,R$3,,Department)</t>
  </si>
  <si>
    <t>=GL("Balance",$C26,S$2,S$3,,Department)</t>
  </si>
  <si>
    <t>=GL("Balance",$C26,T$2,T$3,,Department)</t>
  </si>
  <si>
    <t>=NL(,"15 G/L Account","2 Name","1 No.",C27)</t>
  </si>
  <si>
    <t>=NL(,"15 G/L Account","2 Name","1 No.",C28)</t>
  </si>
  <si>
    <t>=NL(,"15 G/L Account","2 Name","1 No.",C29)</t>
  </si>
  <si>
    <t>=GL("Balance",$C35,E$2,E$3,,Department)</t>
  </si>
  <si>
    <t>=GL("Balance",$C35,F$2,F$3,,Department)</t>
  </si>
  <si>
    <t>=GL("Balance",$C35,G$2,G$3,,Department)</t>
  </si>
  <si>
    <t>=GL("Budget",$C35,J$2,J$3,,Department)</t>
  </si>
  <si>
    <t>=GL("Balance",$C35,Q$2,Q$3,,Department)</t>
  </si>
  <si>
    <t>=GL("Balance",$C35,R$2,R$3,,Department)</t>
  </si>
  <si>
    <t>=GL("Balance",$C35,S$2,S$3,,Department)</t>
  </si>
  <si>
    <t>=GL("Balance",$C35,T$2,T$3,,Department)</t>
  </si>
  <si>
    <t>=GL("Balance",$C36,E$2,E$3,,Department)</t>
  </si>
  <si>
    <t>=GL("Balance",$C36,F$2,F$3,,Department)</t>
  </si>
  <si>
    <t>=GL("Balance",$C36,G$2,G$3,,Department)</t>
  </si>
  <si>
    <t>=GL("Budget",$C36,J$2,J$3,,Department)</t>
  </si>
  <si>
    <t>=GL("Balance",$C36,Q$2,Q$3,,Department)</t>
  </si>
  <si>
    <t>=GL("Balance",$C36,R$2,R$3,,Department)</t>
  </si>
  <si>
    <t>=GL("Balance",$C36,S$2,S$3,,Department)</t>
  </si>
  <si>
    <t>=GL("Balance",$C36,T$2,T$3,,Department)</t>
  </si>
  <si>
    <t>=GL("Balance",$C37,E$2,E$3,,Department)</t>
  </si>
  <si>
    <t>=GL("Balance",$C37,F$2,F$3,,Department)</t>
  </si>
  <si>
    <t>=GL("Balance",$C37,G$2,G$3,,Department)</t>
  </si>
  <si>
    <t>=GL("Budget",$C37,J$2,J$3,,Department)</t>
  </si>
  <si>
    <t>=GL("Balance",$C37,Q$2,Q$3,,Department)</t>
  </si>
  <si>
    <t>=GL("Balance",$C37,R$2,R$3,,Department)</t>
  </si>
  <si>
    <t>=GL("Balance",$C37,S$2,S$3,,Department)</t>
  </si>
  <si>
    <t>=GL("Balance",$C37,T$2,T$3,,Department)</t>
  </si>
  <si>
    <t>=GL("Balance",$C38,E$2,E$3,,Department)</t>
  </si>
  <si>
    <t>=GL("Balance",$C38,F$2,F$3,,Department)</t>
  </si>
  <si>
    <t>=GL("Balance",$C38,G$2,G$3,,Department)</t>
  </si>
  <si>
    <t>=GL("Budget",$C38,J$2,J$3,,Department)</t>
  </si>
  <si>
    <t>=GL("Balance",$C38,Q$2,Q$3,,Department)</t>
  </si>
  <si>
    <t>=GL("Balance",$C38,R$2,R$3,,Department)</t>
  </si>
  <si>
    <t>=GL("Balance",$C38,S$2,S$3,,Department)</t>
  </si>
  <si>
    <t>=GL("Balance",$C38,T$2,T$3,,Department)</t>
  </si>
  <si>
    <t>=GL("Balance",$C39,E$2,E$3,,Department)</t>
  </si>
  <si>
    <t>=GL("Balance",$C39,F$2,F$3,,Department)</t>
  </si>
  <si>
    <t>=GL("Balance",$C39,G$2,G$3,,Department)</t>
  </si>
  <si>
    <t>=GL("Budget",$C39,J$2,J$3,,Department)</t>
  </si>
  <si>
    <t>=GL("Balance",$C39,Q$2,Q$3,,Department)</t>
  </si>
  <si>
    <t>=GL("Balance",$C39,R$2,R$3,,Department)</t>
  </si>
  <si>
    <t>=GL("Balance",$C39,S$2,S$3,,Department)</t>
  </si>
  <si>
    <t>=GL("Balance",$C39,T$2,T$3,,Department)</t>
  </si>
  <si>
    <t>=GL("Balance",$C40,E$2,E$3,,Department)</t>
  </si>
  <si>
    <t>=GL("Balance",$C40,F$2,F$3,,Department)</t>
  </si>
  <si>
    <t>=GL("Balance",$C40,G$2,G$3,,Department)</t>
  </si>
  <si>
    <t>=GL("Budget",$C40,J$2,J$3,,Department)</t>
  </si>
  <si>
    <t>=GL("Balance",$C40,Q$2,Q$3,,Department)</t>
  </si>
  <si>
    <t>=GL("Balance",$C40,R$2,R$3,,Department)</t>
  </si>
  <si>
    <t>=GL("Balance",$C40,S$2,S$3,,Department)</t>
  </si>
  <si>
    <t>=GL("Balance",$C40,T$2,T$3,,Department)</t>
  </si>
  <si>
    <t>=GL("Balance",$C41,E$2,E$3,,Department)</t>
  </si>
  <si>
    <t>=GL("Balance",$C41,F$2,F$3,,Department)</t>
  </si>
  <si>
    <t>=GL("Balance",$C41,G$2,G$3,,Department)</t>
  </si>
  <si>
    <t>=GL("Budget",$C41,J$2,J$3,,Department)</t>
  </si>
  <si>
    <t>=GL("Balance",$C41,Q$2,Q$3,,Department)</t>
  </si>
  <si>
    <t>=GL("Balance",$C41,R$2,R$3,,Department)</t>
  </si>
  <si>
    <t>=GL("Balance",$C41,S$2,S$3,,Department)</t>
  </si>
  <si>
    <t>=GL("Balance",$C41,T$2,T$3,,Department)</t>
  </si>
  <si>
    <t>=GL("Balance",$C42,E$2,E$3,,Department)</t>
  </si>
  <si>
    <t>=GL("Balance",$C42,F$2,F$3,,Department)</t>
  </si>
  <si>
    <t>=GL("Balance",$C42,G$2,G$3,,Department)</t>
  </si>
  <si>
    <t>=GL("Budget",$C42,J$2,J$3,,Department)</t>
  </si>
  <si>
    <t>=GL("Balance",$C42,Q$2,Q$3,,Department)</t>
  </si>
  <si>
    <t>=GL("Balance",$C42,R$2,R$3,,Department)</t>
  </si>
  <si>
    <t>=GL("Balance",$C42,S$2,S$3,,Department)</t>
  </si>
  <si>
    <t>=GL("Balance",$C42,T$2,T$3,,Department)</t>
  </si>
  <si>
    <t>=NL(,"G/L Account","Name","No.",$C17)</t>
  </si>
  <si>
    <t>=NL(,"G/L Account","Name","No.",$C18)</t>
  </si>
  <si>
    <t>=NL(,"G/L Account","Name","No.",$C19)</t>
  </si>
  <si>
    <t>=NL(,"G/L Account","Name","No.",$C20)</t>
  </si>
  <si>
    <t>=NL(,"G/L Account","Name","No.",$C21)</t>
  </si>
  <si>
    <t>=NL(,"G/L Account","Name","No.",$C22)</t>
  </si>
  <si>
    <t>=NL(,"G/L Account","Name","No.",$C23)</t>
  </si>
  <si>
    <t>=NL(,"G/L Account","Name","No.",$C24)</t>
  </si>
  <si>
    <t>=NL(,"G/L Account","Name","No.",$C25)</t>
  </si>
  <si>
    <t>=NL(,"G/L Account","Name","No.",$C29)</t>
  </si>
  <si>
    <t>=NL(,"G/L Account","Name","No.",$C30)</t>
  </si>
  <si>
    <t>=NL(,"G/L Account","Name","No.",$C34)</t>
  </si>
  <si>
    <t>=NL(,"G/L Account","Name","No.",$C35)</t>
  </si>
  <si>
    <t>=NL(,"G/L Account","Name","No.",$C36)</t>
  </si>
  <si>
    <t>=-GL("Balance",$B$15,F$2,F$3,,Department)</t>
  </si>
  <si>
    <t>=-GL("Balance",$B$15,G$2,G$3,,Department)</t>
  </si>
  <si>
    <t>=-GL("Balance",$B$15,H$2,H$3,,Department)</t>
  </si>
  <si>
    <t>=-GL("Balance",$B$16,F$2,F$3,,Department)</t>
  </si>
  <si>
    <t>=-GL("Balance",$B$16,G$2,G$3,,Department)</t>
  </si>
  <si>
    <t>=-GL("Balance",$B$16,H$2,H$3,,Department)</t>
  </si>
  <si>
    <t>=-GL("Balance",$B$17,F$2,F$3,,Department)</t>
  </si>
  <si>
    <t>=-GL("Balance",$B$17,G$2,G$3,,Department)</t>
  </si>
  <si>
    <t>=-GL("Balance",$B$17,H$2,H$3,,Department)</t>
  </si>
  <si>
    <t>=-GL("Balance",$B$18,F$2,F$3,,Department)</t>
  </si>
  <si>
    <t>=-GL("Balance",$B$18,G$2,G$3,,Department)</t>
  </si>
  <si>
    <t>=-GL("Balance",$B$18,H$2,H$3,,Department)</t>
  </si>
  <si>
    <t>=-GL("Balance",$B$19,F$2,F$3,,Department)</t>
  </si>
  <si>
    <t>=-GL("Balance",$B$19,G$2,G$3,,Department)</t>
  </si>
  <si>
    <t>=-GL("Balance",$B$19,H$2,H$3,,Department)</t>
  </si>
  <si>
    <t>Auto+Hide+Hidesheet+Formulas=Sheet13,Sheet14+FormulasOnly</t>
  </si>
  <si>
    <t>Auto+Hide+Values+Formulas=Sheet15,Sheet16+FormulasOnly</t>
  </si>
  <si>
    <t>Auto+Hide+Values+Formulas=Sheet17,Sheet18+FormulasOnly</t>
  </si>
  <si>
    <t>=GL("Balance",C41,,YearStartDate-1)</t>
  </si>
  <si>
    <t>Auto+Hide+Values+Formulas=Sheet19,Sheet20+FormulasOnly</t>
  </si>
  <si>
    <t>Auto+Hide+Hidesheet+Formulas=Sheet21,Sheet13,Sheet14</t>
  </si>
  <si>
    <t>Auto+Hide+Hidesheet+Formulas=Sheet21,Sheet13,Sheet14+FormulasOnly</t>
  </si>
  <si>
    <t>Auto+Hide+Values+Formulas=Sheet22,Sheet15,Sheet16</t>
  </si>
  <si>
    <t>Auto+Hide+Values+Formulas=Sheet22,Sheet15,Sheet16+FormulasOnly</t>
  </si>
  <si>
    <t>Auto+Hide+Values+Formulas=Sheet23,Sheet17,Sheet18</t>
  </si>
  <si>
    <t>Auto+Hide+Values+Formulas=Sheet23,Sheet17,Sheet18+FormulasOnly</t>
  </si>
  <si>
    <t>Auto+Hide+Values+Formulas=Sheet24,Sheet19,Sheet20</t>
  </si>
  <si>
    <t>Auto+Hide+Values+Formulas=Sheet24,Sheet19,Sheet20+FormulasOnly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</si>
</sst>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mmmm"/>
    <numFmt numFmtId="165" formatCode="_(* #,##0_);_(* \(#,##0\);_(* &quot;-&quot;??_);_(@_)"/>
    <numFmt numFmtId="166" formatCode="m/d/yy;@"/>
    <numFmt numFmtId="167" formatCode="_(&quot;$&quot;* #,##0_);_(&quot;$&quot;* \(#,##0\);_(&quot;$&quot;* &quot;-&quot;??_);_(@_)"/>
    <numFmt numFmtId="168" formatCode="0.0%"/>
  </numFmts>
  <fonts count="24" x14ac:knownFonts="1">
    <font>
      <sz val="10"/>
      <name val="Arial"/>
    </font>
    <font>
      <sz val="11"/>
      <color theme="1"/>
      <name val="Calibri"/>
      <family val="2"/>
      <scheme val="minor"/>
    </font>
    <font>
      <sz val="10"/>
      <name val="Arial"/>
      <family val="2"/>
    </font>
    <font>
      <sz val="10"/>
      <name val="Segoe UI"/>
      <family val="2"/>
    </font>
    <font>
      <b/>
      <sz val="12"/>
      <name val="Segoe UI"/>
      <family val="2"/>
    </font>
    <font>
      <b/>
      <sz val="11"/>
      <name val="Segoe UI"/>
      <family val="2"/>
    </font>
    <font>
      <b/>
      <sz val="14"/>
      <color indexed="9"/>
      <name val="Segoe UI"/>
      <family val="2"/>
    </font>
    <font>
      <b/>
      <sz val="10"/>
      <name val="Segoe UI"/>
      <family val="2"/>
    </font>
    <font>
      <b/>
      <sz val="22"/>
      <name val="Segoe UI"/>
      <family val="2"/>
    </font>
    <font>
      <sz val="11"/>
      <name val="Segoe UI"/>
      <family val="2"/>
    </font>
    <font>
      <sz val="11"/>
      <color theme="0"/>
      <name val="Segoe UI"/>
      <family val="2"/>
    </font>
    <font>
      <u/>
      <sz val="11"/>
      <name val="Segoe UI"/>
      <family val="2"/>
    </font>
    <font>
      <sz val="12"/>
      <name val="Segoe UI"/>
      <family val="2"/>
    </font>
    <font>
      <b/>
      <sz val="16"/>
      <color indexed="9"/>
      <name val="Segoe UI"/>
      <family val="2"/>
    </font>
    <font>
      <sz val="16"/>
      <color indexed="9"/>
      <name val="Segoe UI"/>
      <family val="2"/>
    </font>
    <font>
      <b/>
      <u/>
      <sz val="12"/>
      <name val="Segoe UI"/>
      <family val="2"/>
    </font>
    <font>
      <b/>
      <i/>
      <sz val="12"/>
      <name val="Segoe UI"/>
      <family val="2"/>
    </font>
    <font>
      <b/>
      <sz val="12"/>
      <color indexed="9"/>
      <name val="Segoe UI"/>
      <family val="2"/>
    </font>
    <font>
      <i/>
      <sz val="10"/>
      <color indexed="12"/>
      <name val="Segoe UI"/>
      <family val="2"/>
    </font>
    <font>
      <u/>
      <sz val="10"/>
      <color indexed="12"/>
      <name val="Arial"/>
      <family val="2"/>
    </font>
    <font>
      <u/>
      <sz val="10"/>
      <color indexed="12"/>
      <name val="Segoe UI"/>
      <family val="2"/>
    </font>
    <font>
      <sz val="10"/>
      <color theme="1"/>
      <name val="Segoe UI"/>
      <family val="2"/>
    </font>
    <font>
      <b/>
      <sz val="20"/>
      <color rgb="FFDA4848"/>
      <name val="Segoe UI"/>
      <family val="2"/>
    </font>
    <font>
      <b/>
      <sz val="10"/>
      <color theme="1"/>
      <name val="Segoe UI"/>
      <family val="2"/>
    </font>
  </fonts>
  <fills count="8">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theme="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EDA5A5"/>
        <bgColor indexed="64"/>
      </patternFill>
    </fill>
  </fills>
  <borders count="30">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 fillId="0" borderId="0"/>
    <xf numFmtId="0" fontId="2" fillId="0" borderId="0"/>
    <xf numFmtId="0" fontId="19" fillId="0" borderId="0" applyNumberFormat="0" applyFill="0" applyBorder="0" applyAlignment="0" applyProtection="0">
      <alignment vertical="top"/>
      <protection locked="0"/>
    </xf>
    <xf numFmtId="0" fontId="1" fillId="0" borderId="0"/>
  </cellStyleXfs>
  <cellXfs count="115">
    <xf numFmtId="0" fontId="0" fillId="0" borderId="0" xfId="0"/>
    <xf numFmtId="0" fontId="3" fillId="2" borderId="0" xfId="0" applyFont="1" applyFill="1"/>
    <xf numFmtId="14" fontId="3" fillId="2" borderId="0" xfId="0" applyNumberFormat="1" applyFont="1" applyFill="1" applyAlignment="1" applyProtection="1">
      <alignment horizontal="right"/>
    </xf>
    <xf numFmtId="166" fontId="3" fillId="2" borderId="0" xfId="0" applyNumberFormat="1" applyFont="1" applyFill="1" applyAlignment="1">
      <alignment horizontal="right"/>
    </xf>
    <xf numFmtId="14" fontId="3" fillId="2" borderId="0" xfId="0" applyNumberFormat="1" applyFont="1" applyFill="1" applyProtection="1"/>
    <xf numFmtId="0" fontId="3" fillId="2" borderId="11" xfId="0" applyFont="1" applyFill="1" applyBorder="1"/>
    <xf numFmtId="0" fontId="3" fillId="2" borderId="13" xfId="0" applyFont="1" applyFill="1" applyBorder="1"/>
    <xf numFmtId="0" fontId="3" fillId="2" borderId="0" xfId="0" applyFont="1" applyFill="1" applyBorder="1"/>
    <xf numFmtId="0" fontId="3" fillId="2" borderId="10" xfId="0" applyFont="1" applyFill="1" applyBorder="1"/>
    <xf numFmtId="0" fontId="3" fillId="2" borderId="12" xfId="0" applyFont="1" applyFill="1" applyBorder="1"/>
    <xf numFmtId="164" fontId="7" fillId="2" borderId="14" xfId="0" applyNumberFormat="1" applyFont="1" applyFill="1" applyBorder="1" applyAlignment="1">
      <alignment horizontal="center"/>
    </xf>
    <xf numFmtId="164" fontId="7" fillId="2" borderId="3" xfId="0" applyNumberFormat="1" applyFont="1" applyFill="1" applyBorder="1" applyAlignment="1">
      <alignment horizontal="center"/>
    </xf>
    <xf numFmtId="164" fontId="7" fillId="2" borderId="15" xfId="0" applyNumberFormat="1" applyFont="1" applyFill="1" applyBorder="1" applyAlignment="1">
      <alignment horizontal="center"/>
    </xf>
    <xf numFmtId="0" fontId="3" fillId="2" borderId="9" xfId="0" applyFont="1" applyFill="1" applyBorder="1"/>
    <xf numFmtId="167" fontId="3" fillId="2" borderId="0" xfId="2" applyNumberFormat="1" applyFont="1" applyFill="1" applyBorder="1"/>
    <xf numFmtId="165" fontId="3" fillId="2" borderId="0" xfId="1" applyNumberFormat="1" applyFont="1" applyFill="1" applyBorder="1"/>
    <xf numFmtId="0" fontId="7" fillId="2" borderId="16" xfId="0" applyFont="1" applyFill="1" applyBorder="1" applyAlignment="1">
      <alignment horizontal="left" indent="1"/>
    </xf>
    <xf numFmtId="167" fontId="7" fillId="2" borderId="2" xfId="2" applyNumberFormat="1" applyFont="1" applyFill="1" applyBorder="1"/>
    <xf numFmtId="167" fontId="7" fillId="2" borderId="17" xfId="2" applyNumberFormat="1" applyFont="1" applyFill="1" applyBorder="1"/>
    <xf numFmtId="167" fontId="7" fillId="2" borderId="16" xfId="0" applyNumberFormat="1" applyFont="1" applyFill="1" applyBorder="1"/>
    <xf numFmtId="0" fontId="3" fillId="0" borderId="0" xfId="0" applyFont="1" applyFill="1"/>
    <xf numFmtId="0" fontId="3" fillId="0" borderId="0" xfId="0" applyNumberFormat="1" applyFont="1"/>
    <xf numFmtId="0" fontId="3" fillId="0" borderId="0" xfId="0" applyFont="1"/>
    <xf numFmtId="14" fontId="3" fillId="0" borderId="0" xfId="0" applyNumberFormat="1" applyFont="1" applyAlignment="1" applyProtection="1">
      <alignment horizontal="right"/>
    </xf>
    <xf numFmtId="14" fontId="3" fillId="0" borderId="0" xfId="0" applyNumberFormat="1" applyFont="1" applyAlignment="1">
      <alignment horizontal="right"/>
    </xf>
    <xf numFmtId="14" fontId="3" fillId="0" borderId="0" xfId="0" applyNumberFormat="1" applyFont="1"/>
    <xf numFmtId="14" fontId="3" fillId="0" borderId="0" xfId="0" applyNumberFormat="1" applyFont="1" applyProtection="1"/>
    <xf numFmtId="0" fontId="9" fillId="0" borderId="0" xfId="0" applyFont="1"/>
    <xf numFmtId="0" fontId="10" fillId="4" borderId="0" xfId="0" applyFont="1" applyFill="1"/>
    <xf numFmtId="164" fontId="11" fillId="0" borderId="0" xfId="0" applyNumberFormat="1" applyFont="1" applyAlignment="1">
      <alignment horizontal="center"/>
    </xf>
    <xf numFmtId="0" fontId="11" fillId="0" borderId="0" xfId="0" applyFont="1"/>
    <xf numFmtId="167" fontId="9" fillId="0" borderId="0" xfId="2" applyNumberFormat="1" applyFont="1"/>
    <xf numFmtId="165" fontId="9" fillId="0" borderId="0" xfId="1" applyNumberFormat="1" applyFont="1"/>
    <xf numFmtId="0" fontId="9" fillId="0" borderId="0" xfId="0" applyFont="1" applyAlignment="1">
      <alignment horizontal="left" indent="1"/>
    </xf>
    <xf numFmtId="165" fontId="9" fillId="0" borderId="2" xfId="1" applyNumberFormat="1" applyFont="1" applyBorder="1"/>
    <xf numFmtId="167" fontId="9" fillId="0" borderId="1" xfId="2" applyNumberFormat="1" applyFont="1" applyBorder="1"/>
    <xf numFmtId="168" fontId="9" fillId="0" borderId="0" xfId="3" applyNumberFormat="1" applyFont="1"/>
    <xf numFmtId="168" fontId="9" fillId="0" borderId="0" xfId="3" applyNumberFormat="1" applyFont="1" applyAlignment="1">
      <alignment horizontal="center"/>
    </xf>
    <xf numFmtId="0" fontId="3" fillId="0" borderId="0" xfId="0" applyNumberFormat="1" applyFont="1" applyFill="1"/>
    <xf numFmtId="165" fontId="3" fillId="0" borderId="0" xfId="1" applyNumberFormat="1" applyFont="1" applyFill="1"/>
    <xf numFmtId="0" fontId="12" fillId="0" borderId="0" xfId="0" applyFont="1" applyFill="1"/>
    <xf numFmtId="165" fontId="12" fillId="0" borderId="0" xfId="1" applyNumberFormat="1" applyFont="1" applyFill="1"/>
    <xf numFmtId="0" fontId="13" fillId="4" borderId="27" xfId="0" applyFont="1" applyFill="1" applyBorder="1" applyAlignment="1">
      <alignment horizontal="center"/>
    </xf>
    <xf numFmtId="0" fontId="14" fillId="4" borderId="28" xfId="0" applyFont="1" applyFill="1" applyBorder="1" applyAlignment="1">
      <alignment horizontal="center"/>
    </xf>
    <xf numFmtId="0" fontId="6" fillId="4" borderId="29" xfId="0" applyFont="1" applyFill="1" applyBorder="1" applyAlignment="1">
      <alignment horizontal="center" vertical="center"/>
    </xf>
    <xf numFmtId="0" fontId="12" fillId="5" borderId="22" xfId="0" applyFont="1" applyFill="1" applyBorder="1"/>
    <xf numFmtId="165" fontId="12" fillId="5" borderId="23" xfId="1" applyNumberFormat="1" applyFont="1" applyFill="1" applyBorder="1"/>
    <xf numFmtId="0" fontId="15" fillId="5" borderId="5" xfId="0" applyFont="1" applyFill="1" applyBorder="1"/>
    <xf numFmtId="165" fontId="12" fillId="5" borderId="6" xfId="1" applyNumberFormat="1" applyFont="1" applyFill="1" applyBorder="1"/>
    <xf numFmtId="0" fontId="4" fillId="5" borderId="5" xfId="0" applyFont="1" applyFill="1" applyBorder="1" applyAlignment="1">
      <alignment horizontal="left" indent="1"/>
    </xf>
    <xf numFmtId="0" fontId="12" fillId="5" borderId="5" xfId="0" applyFont="1" applyFill="1" applyBorder="1"/>
    <xf numFmtId="0" fontId="4" fillId="5" borderId="5" xfId="0" applyFont="1" applyFill="1" applyBorder="1" applyAlignment="1">
      <alignment horizontal="left" indent="2"/>
    </xf>
    <xf numFmtId="0" fontId="12" fillId="5" borderId="5" xfId="0" applyFont="1" applyFill="1" applyBorder="1" applyAlignment="1">
      <alignment horizontal="left" indent="3"/>
    </xf>
    <xf numFmtId="0" fontId="12" fillId="5" borderId="5" xfId="0" applyFont="1" applyFill="1" applyBorder="1" applyAlignment="1">
      <alignment horizontal="left" indent="2"/>
    </xf>
    <xf numFmtId="0" fontId="16" fillId="5" borderId="5" xfId="0" applyFont="1" applyFill="1" applyBorder="1" applyAlignment="1">
      <alignment horizontal="left" indent="3"/>
    </xf>
    <xf numFmtId="165" fontId="4" fillId="5" borderId="24" xfId="1" applyNumberFormat="1" applyFont="1" applyFill="1" applyBorder="1"/>
    <xf numFmtId="0" fontId="15" fillId="5" borderId="5" xfId="0" applyFont="1" applyFill="1" applyBorder="1" applyAlignment="1">
      <alignment horizontal="left"/>
    </xf>
    <xf numFmtId="165" fontId="4" fillId="5" borderId="6" xfId="1" applyNumberFormat="1" applyFont="1" applyFill="1" applyBorder="1"/>
    <xf numFmtId="165" fontId="12" fillId="5" borderId="25" xfId="1" applyNumberFormat="1" applyFont="1" applyFill="1" applyBorder="1"/>
    <xf numFmtId="167" fontId="4" fillId="5" borderId="26" xfId="2" applyNumberFormat="1" applyFont="1" applyFill="1" applyBorder="1"/>
    <xf numFmtId="0" fontId="3" fillId="5" borderId="7" xfId="0" applyFont="1" applyFill="1" applyBorder="1"/>
    <xf numFmtId="165" fontId="7" fillId="5" borderId="8" xfId="1" applyNumberFormat="1" applyFont="1" applyFill="1" applyBorder="1"/>
    <xf numFmtId="0" fontId="3" fillId="0" borderId="5" xfId="0" applyFont="1" applyFill="1" applyBorder="1"/>
    <xf numFmtId="0" fontId="3" fillId="0" borderId="0" xfId="0" applyFont="1" applyFill="1" applyBorder="1"/>
    <xf numFmtId="0" fontId="3" fillId="0" borderId="6" xfId="0" applyFont="1" applyFill="1" applyBorder="1"/>
    <xf numFmtId="0" fontId="7" fillId="0" borderId="4" xfId="0" applyFont="1" applyFill="1" applyBorder="1" applyAlignment="1"/>
    <xf numFmtId="0" fontId="7" fillId="0" borderId="0" xfId="0" applyFont="1" applyFill="1" applyBorder="1"/>
    <xf numFmtId="14" fontId="18" fillId="0" borderId="0" xfId="0" applyNumberFormat="1" applyFont="1" applyFill="1" applyBorder="1" applyAlignment="1">
      <alignment horizontal="right"/>
    </xf>
    <xf numFmtId="14" fontId="18" fillId="0" borderId="2" xfId="0" applyNumberFormat="1" applyFont="1" applyFill="1" applyBorder="1" applyAlignment="1">
      <alignment horizontal="right"/>
    </xf>
    <xf numFmtId="0" fontId="18" fillId="0" borderId="2" xfId="0" applyFont="1" applyFill="1" applyBorder="1" applyAlignment="1">
      <alignment horizontal="right"/>
    </xf>
    <xf numFmtId="0" fontId="3" fillId="0" borderId="7" xfId="0" applyFont="1" applyFill="1" applyBorder="1"/>
    <xf numFmtId="0" fontId="3" fillId="0" borderId="4" xfId="0" applyFont="1" applyFill="1" applyBorder="1"/>
    <xf numFmtId="0" fontId="3" fillId="0" borderId="8" xfId="0" applyFont="1" applyFill="1" applyBorder="1"/>
    <xf numFmtId="0" fontId="5" fillId="6" borderId="16" xfId="7" applyFont="1" applyFill="1" applyBorder="1" applyAlignment="1">
      <alignment vertical="top" wrapText="1"/>
    </xf>
    <xf numFmtId="0" fontId="3" fillId="5" borderId="0" xfId="0" applyNumberFormat="1" applyFont="1" applyFill="1"/>
    <xf numFmtId="0" fontId="3" fillId="5" borderId="0" xfId="0" applyNumberFormat="1" applyFont="1" applyFill="1" applyAlignment="1">
      <alignment horizontal="right"/>
    </xf>
    <xf numFmtId="0" fontId="5" fillId="5" borderId="0" xfId="7" applyFont="1" applyFill="1" applyBorder="1" applyAlignment="1">
      <alignment vertical="top" wrapText="1"/>
    </xf>
    <xf numFmtId="0" fontId="3" fillId="6" borderId="0" xfId="0" applyNumberFormat="1" applyFont="1" applyFill="1"/>
    <xf numFmtId="0" fontId="3" fillId="6" borderId="0" xfId="0" applyFont="1" applyFill="1"/>
    <xf numFmtId="0" fontId="12" fillId="6" borderId="0" xfId="0" applyNumberFormat="1" applyFont="1" applyFill="1"/>
    <xf numFmtId="0" fontId="12" fillId="6" borderId="0" xfId="0" applyNumberFormat="1" applyFont="1" applyFill="1" applyAlignment="1">
      <alignment horizontal="right"/>
    </xf>
    <xf numFmtId="0" fontId="9" fillId="6" borderId="0" xfId="0" applyNumberFormat="1" applyFont="1" applyFill="1" applyAlignment="1">
      <alignment horizontal="right"/>
    </xf>
    <xf numFmtId="0" fontId="9" fillId="6" borderId="0" xfId="0" applyNumberFormat="1" applyFont="1" applyFill="1"/>
    <xf numFmtId="0" fontId="5" fillId="5" borderId="0" xfId="7" applyFont="1" applyFill="1" applyBorder="1" applyAlignment="1">
      <alignment wrapText="1"/>
    </xf>
    <xf numFmtId="165" fontId="9" fillId="0" borderId="0" xfId="1" applyNumberFormat="1" applyFont="1" applyBorder="1"/>
    <xf numFmtId="0" fontId="3" fillId="5" borderId="0" xfId="0" applyFont="1" applyFill="1"/>
    <xf numFmtId="0" fontId="3" fillId="5" borderId="0" xfId="0" applyFont="1" applyFill="1" applyAlignment="1">
      <alignment horizontal="right"/>
    </xf>
    <xf numFmtId="0" fontId="3" fillId="2" borderId="0" xfId="4" applyFont="1" applyFill="1" applyAlignment="1">
      <alignment wrapText="1"/>
    </xf>
    <xf numFmtId="0" fontId="21" fillId="0" borderId="0" xfId="9" applyFont="1"/>
    <xf numFmtId="0" fontId="21" fillId="0" borderId="0" xfId="9" applyFont="1" applyAlignment="1">
      <alignment vertical="top"/>
    </xf>
    <xf numFmtId="0" fontId="21" fillId="0" borderId="0" xfId="9" applyFont="1" applyAlignment="1">
      <alignment vertical="top" wrapText="1"/>
    </xf>
    <xf numFmtId="0" fontId="22" fillId="0" borderId="0" xfId="9" applyFont="1" applyAlignment="1">
      <alignment vertical="top"/>
    </xf>
    <xf numFmtId="0" fontId="23" fillId="0" borderId="0" xfId="9" applyFont="1" applyAlignment="1">
      <alignment vertical="top"/>
    </xf>
    <xf numFmtId="0" fontId="20" fillId="0" borderId="0" xfId="5" applyFont="1" applyAlignment="1" applyProtection="1">
      <alignment vertical="top"/>
    </xf>
    <xf numFmtId="0" fontId="7" fillId="7" borderId="16" xfId="4" applyFont="1" applyFill="1" applyBorder="1" applyAlignment="1">
      <alignment wrapText="1"/>
    </xf>
    <xf numFmtId="14" fontId="3" fillId="2" borderId="0" xfId="0" applyNumberFormat="1" applyFont="1" applyFill="1"/>
    <xf numFmtId="0" fontId="17" fillId="4" borderId="18" xfId="0" applyFont="1" applyFill="1" applyBorder="1" applyAlignment="1">
      <alignment horizontal="center"/>
    </xf>
    <xf numFmtId="0" fontId="17" fillId="4" borderId="19" xfId="0" applyFont="1" applyFill="1" applyBorder="1" applyAlignment="1">
      <alignment horizontal="center"/>
    </xf>
    <xf numFmtId="0" fontId="17" fillId="4" borderId="20" xfId="0" applyFont="1" applyFill="1" applyBorder="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3" borderId="21" xfId="0" applyFont="1" applyFill="1" applyBorder="1" applyAlignment="1">
      <alignment horizontal="center"/>
    </xf>
    <xf numFmtId="0" fontId="6" fillId="3" borderId="2" xfId="0" applyFont="1" applyFill="1" applyBorder="1" applyAlignment="1">
      <alignment horizontal="center"/>
    </xf>
    <xf numFmtId="0" fontId="6" fillId="3" borderId="17" xfId="0" applyFont="1" applyFill="1" applyBorder="1" applyAlignment="1">
      <alignment horizontal="center"/>
    </xf>
    <xf numFmtId="0" fontId="5" fillId="5" borderId="0" xfId="7" applyFont="1" applyFill="1" applyBorder="1" applyAlignment="1">
      <alignment vertical="top" wrapText="1"/>
    </xf>
    <xf numFmtId="0" fontId="0" fillId="0" borderId="0" xfId="0" applyAlignment="1">
      <alignment vertical="top" wrapText="1"/>
    </xf>
    <xf numFmtId="0" fontId="5" fillId="5" borderId="0" xfId="7" applyFont="1" applyFill="1" applyBorder="1" applyAlignment="1">
      <alignment wrapText="1"/>
    </xf>
    <xf numFmtId="0" fontId="8"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10" fillId="4" borderId="21" xfId="0" applyFont="1" applyFill="1" applyBorder="1" applyAlignment="1">
      <alignment horizontal="center"/>
    </xf>
    <xf numFmtId="0" fontId="10" fillId="4" borderId="2" xfId="0" applyFont="1" applyFill="1" applyBorder="1" applyAlignment="1">
      <alignment horizontal="center"/>
    </xf>
    <xf numFmtId="0" fontId="10" fillId="4" borderId="17" xfId="0" applyFont="1" applyFill="1" applyBorder="1" applyAlignment="1">
      <alignment horizontal="center"/>
    </xf>
    <xf numFmtId="14" fontId="21" fillId="0" borderId="0" xfId="9" applyNumberFormat="1" applyFont="1"/>
    <xf numFmtId="0" fontId="0" fillId="0" borderId="0" xfId="0" quotePrefix="1"/>
  </cellXfs>
  <cellStyles count="10">
    <cellStyle name="Comma" xfId="1" builtinId="3"/>
    <cellStyle name="Currency" xfId="2" builtinId="4"/>
    <cellStyle name="Hyperlink" xfId="5" builtinId="8"/>
    <cellStyle name="Hyperlink 3" xfId="8"/>
    <cellStyle name="Normal" xfId="0" builtinId="0"/>
    <cellStyle name="Normal 2" xfId="4"/>
    <cellStyle name="Normal 2 2" xfId="7"/>
    <cellStyle name="Normal 2 4" xfId="6"/>
    <cellStyle name="Normal 3" xfId="9"/>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967822026859269"/>
          <c:y val="4.1248741188318228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4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573714068571885"/>
          <c:y val="0.29249851321454901"/>
          <c:w val="0.62075694300910589"/>
          <c:h val="0.51264996709248201"/>
        </c:manualLayout>
      </c:layout>
      <c:pie3DChart>
        <c:varyColors val="1"/>
        <c:ser>
          <c:idx val="0"/>
          <c:order val="0"/>
          <c:tx>
            <c:strRef>
              <c:f>'Dept Sales Trend'!$F$14</c:f>
              <c:strCache>
                <c:ptCount val="1"/>
                <c:pt idx="0">
                  <c:v>March</c:v>
                </c:pt>
              </c:strCache>
            </c:strRef>
          </c:tx>
          <c:explosion val="25"/>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3DC-45D6-8F07-093EDC53E6EA}"/>
              </c:ext>
            </c:extLst>
          </c:dPt>
          <c:dPt>
            <c:idx val="1"/>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E3DC-45D6-8F07-093EDC53E6EA}"/>
              </c:ext>
            </c:extLst>
          </c:dPt>
          <c:dPt>
            <c:idx val="2"/>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5-E3DC-45D6-8F07-093EDC53E6EA}"/>
              </c:ext>
            </c:extLst>
          </c:dPt>
          <c:dPt>
            <c:idx val="3"/>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E3DC-45D6-8F07-093EDC53E6EA}"/>
              </c:ext>
            </c:extLst>
          </c:dPt>
          <c:dPt>
            <c:idx val="4"/>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E3DC-45D6-8F07-093EDC53E6E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'Dept Sales Trend'!$E$15:$E$19</c:f>
              <c:strCache>
                <c:ptCount val="5"/>
                <c:pt idx="0">
                  <c:v>Jobs</c:v>
                </c:pt>
                <c:pt idx="1">
                  <c:v>Resources</c:v>
                </c:pt>
                <c:pt idx="2">
                  <c:v>Material</c:v>
                </c:pt>
                <c:pt idx="3">
                  <c:v>Retail</c:v>
                </c:pt>
                <c:pt idx="4">
                  <c:v>Other Revenue</c:v>
                </c:pt>
              </c:strCache>
            </c:strRef>
          </c:cat>
          <c:val>
            <c:numRef>
              <c:f>'Dept Sales Trend'!$F$15:$F$19</c:f>
              <c:numCache>
                <c:formatCode>_(* #,##0_);_(* \(#,##0\);_(* "-"??_);_(@_)</c:formatCode>
                <c:ptCount val="5"/>
                <c:pt idx="0" formatCode="_(&quot;$&quot;* #,##0_);_(&quot;$&quot;* \(#,##0\);_(&quot;$&quot;* &quot;-&quot;??_);_(@_)">
                  <c:v>0</c:v>
                </c:pt>
                <c:pt idx="1">
                  <c:v>0</c:v>
                </c:pt>
                <c:pt idx="2">
                  <c:v>0</c:v>
                </c:pt>
                <c:pt idx="3">
                  <c:v>568053.66</c:v>
                </c:pt>
                <c:pt idx="4">
                  <c:v>-25887.08</c:v>
                </c:pt>
              </c:numCache>
            </c:numRef>
          </c:val>
          <c:extLst>
            <c:ext xmlns:c16="http://schemas.microsoft.com/office/drawing/2014/chart" uri="{C3380CC4-5D6E-409C-BE32-E72D297353CC}">
              <c16:uniqueId val="{0000000A-E3DC-45D6-8F07-093EDC53E6EA}"/>
            </c:ext>
          </c:extLst>
        </c:ser>
        <c:dLbls>
          <c:showLegendKey val="0"/>
          <c:showVal val="0"/>
          <c:showCatName val="0"/>
          <c:showSerName val="0"/>
          <c:showPercent val="1"/>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033" r="0.750000000000000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55178457209051"/>
          <c:y val="4.5541484844398877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4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889757821259108"/>
          <c:y val="0.26243446424968181"/>
          <c:w val="0.63025796909646914"/>
          <c:h val="0.52148852636887344"/>
        </c:manualLayout>
      </c:layout>
      <c:pie3DChart>
        <c:varyColors val="1"/>
        <c:ser>
          <c:idx val="0"/>
          <c:order val="0"/>
          <c:tx>
            <c:strRef>
              <c:f>'Dept Sales Trend'!$G$14</c:f>
              <c:strCache>
                <c:ptCount val="1"/>
                <c:pt idx="0">
                  <c:v>April</c:v>
                </c:pt>
              </c:strCache>
            </c:strRef>
          </c:tx>
          <c:explosion val="25"/>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DEBA-445C-AFB3-30EC55C5026F}"/>
              </c:ext>
            </c:extLst>
          </c:dPt>
          <c:dPt>
            <c:idx val="1"/>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DEBA-445C-AFB3-30EC55C5026F}"/>
              </c:ext>
            </c:extLst>
          </c:dPt>
          <c:dPt>
            <c:idx val="2"/>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5-DEBA-445C-AFB3-30EC55C5026F}"/>
              </c:ext>
            </c:extLst>
          </c:dPt>
          <c:dPt>
            <c:idx val="3"/>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DEBA-445C-AFB3-30EC55C5026F}"/>
              </c:ext>
            </c:extLst>
          </c:dPt>
          <c:dPt>
            <c:idx val="4"/>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DEBA-445C-AFB3-30EC55C5026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'Dept Sales Trend'!$E$15:$E$19</c:f>
              <c:strCache>
                <c:ptCount val="5"/>
                <c:pt idx="0">
                  <c:v>Jobs</c:v>
                </c:pt>
                <c:pt idx="1">
                  <c:v>Resources</c:v>
                </c:pt>
                <c:pt idx="2">
                  <c:v>Material</c:v>
                </c:pt>
                <c:pt idx="3">
                  <c:v>Retail</c:v>
                </c:pt>
                <c:pt idx="4">
                  <c:v>Other Revenue</c:v>
                </c:pt>
              </c:strCache>
            </c:strRef>
          </c:cat>
          <c:val>
            <c:numRef>
              <c:f>'Dept Sales Trend'!$G$15:$G$19</c:f>
              <c:numCache>
                <c:formatCode>_(* #,##0_);_(* \(#,##0\);_(* "-"??_);_(@_)</c:formatCode>
                <c:ptCount val="5"/>
                <c:pt idx="0" formatCode="_(&quot;$&quot;* #,##0_);_(&quot;$&quot;* \(#,##0\);_(&quot;$&quot;* &quot;-&quot;??_);_(@_)">
                  <c:v>0</c:v>
                </c:pt>
                <c:pt idx="1">
                  <c:v>0</c:v>
                </c:pt>
                <c:pt idx="2">
                  <c:v>0</c:v>
                </c:pt>
                <c:pt idx="3">
                  <c:v>524825.5</c:v>
                </c:pt>
                <c:pt idx="4">
                  <c:v>-35167.82</c:v>
                </c:pt>
              </c:numCache>
            </c:numRef>
          </c:val>
          <c:extLst>
            <c:ext xmlns:c16="http://schemas.microsoft.com/office/drawing/2014/chart" uri="{C3380CC4-5D6E-409C-BE32-E72D297353CC}">
              <c16:uniqueId val="{0000000A-DEBA-445C-AFB3-30EC55C5026F}"/>
            </c:ext>
          </c:extLst>
        </c:ser>
        <c:dLbls>
          <c:showLegendKey val="0"/>
          <c:showVal val="0"/>
          <c:showCatName val="0"/>
          <c:showSerName val="0"/>
          <c:showPercent val="1"/>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033" r="0.750000000000000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204199475065615"/>
          <c:y val="3.606534960547212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4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0503720858422109"/>
          <c:y val="0.26703128782706276"/>
          <c:w val="0.61638783387370688"/>
          <c:h val="0.51685841960687662"/>
        </c:manualLayout>
      </c:layout>
      <c:pie3DChart>
        <c:varyColors val="1"/>
        <c:ser>
          <c:idx val="0"/>
          <c:order val="0"/>
          <c:tx>
            <c:strRef>
              <c:f>'Dept Sales Trend'!$H$14</c:f>
              <c:strCache>
                <c:ptCount val="1"/>
                <c:pt idx="0">
                  <c:v>May</c:v>
                </c:pt>
              </c:strCache>
            </c:strRef>
          </c:tx>
          <c:explosion val="25"/>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5D4-4448-B858-7BE03974C0A3}"/>
              </c:ext>
            </c:extLst>
          </c:dPt>
          <c:dPt>
            <c:idx val="1"/>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F5D4-4448-B858-7BE03974C0A3}"/>
              </c:ext>
            </c:extLst>
          </c:dPt>
          <c:dPt>
            <c:idx val="2"/>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5-F5D4-4448-B858-7BE03974C0A3}"/>
              </c:ext>
            </c:extLst>
          </c:dPt>
          <c:dPt>
            <c:idx val="3"/>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F5D4-4448-B858-7BE03974C0A3}"/>
              </c:ext>
            </c:extLst>
          </c:dPt>
          <c:dPt>
            <c:idx val="4"/>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F5D4-4448-B858-7BE03974C0A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'Dept Sales Trend'!$E$15:$E$19</c:f>
              <c:strCache>
                <c:ptCount val="5"/>
                <c:pt idx="0">
                  <c:v>Jobs</c:v>
                </c:pt>
                <c:pt idx="1">
                  <c:v>Resources</c:v>
                </c:pt>
                <c:pt idx="2">
                  <c:v>Material</c:v>
                </c:pt>
                <c:pt idx="3">
                  <c:v>Retail</c:v>
                </c:pt>
                <c:pt idx="4">
                  <c:v>Other Revenue</c:v>
                </c:pt>
              </c:strCache>
            </c:strRef>
          </c:cat>
          <c:val>
            <c:numRef>
              <c:f>'Dept Sales Trend'!$H$15:$H$19</c:f>
              <c:numCache>
                <c:formatCode>_(* #,##0_);_(* \(#,##0\);_(* "-"??_);_(@_)</c:formatCode>
                <c:ptCount val="5"/>
                <c:pt idx="0" formatCode="_(&quot;$&quot;* #,##0_);_(&quot;$&quot;* \(#,##0\);_(&quot;$&quot;* &quot;-&quot;??_);_(@_)">
                  <c:v>0</c:v>
                </c:pt>
                <c:pt idx="1">
                  <c:v>0</c:v>
                </c:pt>
                <c:pt idx="2">
                  <c:v>0</c:v>
                </c:pt>
                <c:pt idx="3">
                  <c:v>606033.63</c:v>
                </c:pt>
                <c:pt idx="4">
                  <c:v>-42625.19</c:v>
                </c:pt>
              </c:numCache>
            </c:numRef>
          </c:val>
          <c:extLst>
            <c:ext xmlns:c16="http://schemas.microsoft.com/office/drawing/2014/chart" uri="{C3380CC4-5D6E-409C-BE32-E72D297353CC}">
              <c16:uniqueId val="{0000000A-F5D4-4448-B858-7BE03974C0A3}"/>
            </c:ext>
          </c:extLst>
        </c:ser>
        <c:dLbls>
          <c:showLegendKey val="0"/>
          <c:showVal val="0"/>
          <c:showCatName val="0"/>
          <c:showSerName val="0"/>
          <c:showPercent val="1"/>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033" r="0.7500000000000003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t" anchorCtr="1"/>
          <a:lstStyle/>
          <a:p>
            <a:pPr>
              <a:defRPr sz="1800" b="1" i="0" u="none" strike="noStrike" kern="1200" spc="0" baseline="0">
                <a:solidFill>
                  <a:schemeClr val="tx1">
                    <a:lumMod val="65000"/>
                    <a:lumOff val="35000"/>
                  </a:schemeClr>
                </a:solidFill>
                <a:latin typeface="+mn-lt"/>
                <a:ea typeface="+mn-ea"/>
                <a:cs typeface="+mn-cs"/>
              </a:defRPr>
            </a:pPr>
            <a:r>
              <a:rPr lang="en-US" sz="1800" b="1"/>
              <a:t>Three Month Profit Trend</a:t>
            </a:r>
          </a:p>
        </c:rich>
      </c:tx>
      <c:layout>
        <c:manualLayout>
          <c:xMode val="edge"/>
          <c:yMode val="edge"/>
          <c:x val="0.22317057442308988"/>
          <c:y val="3.6544997089397874E-2"/>
        </c:manualLayout>
      </c:layout>
      <c:overlay val="0"/>
      <c:spPr>
        <a:noFill/>
        <a:ln>
          <a:noFill/>
        </a:ln>
        <a:effectLst/>
      </c:spPr>
      <c:txPr>
        <a:bodyPr rot="0" spcFirstLastPara="1" vertOverflow="ellipsis" vert="horz" wrap="square" anchor="t"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hPercent val="10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515274949083504"/>
          <c:y val="0.18272454890688089"/>
          <c:w val="0.6003016312436934"/>
          <c:h val="0.68438649226940862"/>
        </c:manualLayout>
      </c:layout>
      <c:bar3DChart>
        <c:barDir val="col"/>
        <c:grouping val="clustered"/>
        <c:varyColors val="0"/>
        <c:ser>
          <c:idx val="0"/>
          <c:order val="0"/>
          <c:tx>
            <c:strRef>
              <c:f>'Dept IS'!$D$19</c:f>
              <c:strCache>
                <c:ptCount val="1"/>
                <c:pt idx="0">
                  <c:v>Total Revenue</c:v>
                </c:pt>
              </c:strCache>
            </c:strRef>
          </c:tx>
          <c:spPr>
            <a:solidFill>
              <a:schemeClr val="accent1">
                <a:shade val="65000"/>
              </a:schemeClr>
            </a:solidFill>
            <a:ln>
              <a:noFill/>
            </a:ln>
            <a:effectLst/>
            <a:sp3d/>
          </c:spPr>
          <c:invertIfNegative val="0"/>
          <c:cat>
            <c:numRef>
              <c:f>'Dept IS'!$E$13:$G$13</c:f>
              <c:numCache>
                <c:formatCode>mmmm</c:formatCode>
                <c:ptCount val="3"/>
                <c:pt idx="0">
                  <c:v>43555</c:v>
                </c:pt>
                <c:pt idx="1">
                  <c:v>43585</c:v>
                </c:pt>
                <c:pt idx="2">
                  <c:v>43616</c:v>
                </c:pt>
              </c:numCache>
            </c:numRef>
          </c:cat>
          <c:val>
            <c:numRef>
              <c:f>'Dept IS'!$E$19:$G$19</c:f>
              <c:numCache>
                <c:formatCode>_(* #,##0_);_(* \(#,##0\);_(* "-"??_);_(@_)</c:formatCode>
                <c:ptCount val="3"/>
                <c:pt idx="0">
                  <c:v>542166.57999999984</c:v>
                </c:pt>
                <c:pt idx="1">
                  <c:v>489657.68000000005</c:v>
                </c:pt>
                <c:pt idx="2">
                  <c:v>563408.43999999994</c:v>
                </c:pt>
              </c:numCache>
            </c:numRef>
          </c:val>
          <c:extLst>
            <c:ext xmlns:c16="http://schemas.microsoft.com/office/drawing/2014/chart" uri="{C3380CC4-5D6E-409C-BE32-E72D297353CC}">
              <c16:uniqueId val="{00000000-42B1-493D-89F2-6E96A148E0D8}"/>
            </c:ext>
          </c:extLst>
        </c:ser>
        <c:ser>
          <c:idx val="1"/>
          <c:order val="1"/>
          <c:tx>
            <c:strRef>
              <c:f>'Dept IS'!$D$32</c:f>
              <c:strCache>
                <c:ptCount val="1"/>
                <c:pt idx="0">
                  <c:v>Gross Profit</c:v>
                </c:pt>
              </c:strCache>
            </c:strRef>
          </c:tx>
          <c:spPr>
            <a:solidFill>
              <a:schemeClr val="accent1"/>
            </a:solidFill>
            <a:ln>
              <a:noFill/>
            </a:ln>
            <a:effectLst/>
            <a:sp3d/>
          </c:spPr>
          <c:invertIfNegative val="0"/>
          <c:val>
            <c:numRef>
              <c:f>'Dept IS'!$E$32:$G$32</c:f>
              <c:numCache>
                <c:formatCode>_(* #,##0_);_(* \(#,##0\);_(* "-"??_);_(@_)</c:formatCode>
                <c:ptCount val="3"/>
                <c:pt idx="0">
                  <c:v>236031.29999999981</c:v>
                </c:pt>
                <c:pt idx="1">
                  <c:v>213531.35000000003</c:v>
                </c:pt>
                <c:pt idx="2">
                  <c:v>245850.60999999993</c:v>
                </c:pt>
              </c:numCache>
            </c:numRef>
          </c:val>
          <c:extLst>
            <c:ext xmlns:c16="http://schemas.microsoft.com/office/drawing/2014/chart" uri="{C3380CC4-5D6E-409C-BE32-E72D297353CC}">
              <c16:uniqueId val="{00000001-42B1-493D-89F2-6E96A148E0D8}"/>
            </c:ext>
          </c:extLst>
        </c:ser>
        <c:ser>
          <c:idx val="2"/>
          <c:order val="2"/>
          <c:tx>
            <c:strRef>
              <c:f>'Dept IS'!$D$44</c:f>
              <c:strCache>
                <c:ptCount val="1"/>
                <c:pt idx="0">
                  <c:v>Departmental Profit</c:v>
                </c:pt>
              </c:strCache>
            </c:strRef>
          </c:tx>
          <c:spPr>
            <a:solidFill>
              <a:schemeClr val="accent1">
                <a:tint val="65000"/>
              </a:schemeClr>
            </a:solidFill>
            <a:ln>
              <a:noFill/>
            </a:ln>
            <a:effectLst/>
            <a:sp3d/>
          </c:spPr>
          <c:invertIfNegative val="0"/>
          <c:val>
            <c:numRef>
              <c:f>'Dept IS'!$E$44:$G$44</c:f>
              <c:numCache>
                <c:formatCode>_("$"* #,##0_);_("$"* \(#,##0\);_("$"* "-"??_);_(@_)</c:formatCode>
                <c:ptCount val="3"/>
                <c:pt idx="0">
                  <c:v>178191.58999999982</c:v>
                </c:pt>
                <c:pt idx="1">
                  <c:v>164797.89000000004</c:v>
                </c:pt>
                <c:pt idx="2">
                  <c:v>193340.48999999993</c:v>
                </c:pt>
              </c:numCache>
            </c:numRef>
          </c:val>
          <c:extLst>
            <c:ext xmlns:c16="http://schemas.microsoft.com/office/drawing/2014/chart" uri="{C3380CC4-5D6E-409C-BE32-E72D297353CC}">
              <c16:uniqueId val="{00000002-42B1-493D-89F2-6E96A148E0D8}"/>
            </c:ext>
          </c:extLst>
        </c:ser>
        <c:dLbls>
          <c:showLegendKey val="0"/>
          <c:showVal val="0"/>
          <c:showCatName val="0"/>
          <c:showSerName val="0"/>
          <c:showPercent val="0"/>
          <c:showBubbleSize val="0"/>
        </c:dLbls>
        <c:gapWidth val="150"/>
        <c:shape val="box"/>
        <c:axId val="670779424"/>
        <c:axId val="670775112"/>
        <c:axId val="0"/>
      </c:bar3DChart>
      <c:dateAx>
        <c:axId val="670779424"/>
        <c:scaling>
          <c:orientation val="minMax"/>
        </c:scaling>
        <c:delete val="0"/>
        <c:axPos val="b"/>
        <c:numFmt formatCode="mmmm" sourceLinked="0"/>
        <c:majorTickMark val="out"/>
        <c:minorTickMark val="none"/>
        <c:tickLblPos val="low"/>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775112"/>
        <c:crosses val="autoZero"/>
        <c:auto val="1"/>
        <c:lblOffset val="100"/>
        <c:baseTimeUnit val="months"/>
        <c:majorUnit val="1"/>
        <c:majorTimeUnit val="months"/>
        <c:minorUnit val="1"/>
        <c:minorTimeUnit val="months"/>
      </c:dateAx>
      <c:valAx>
        <c:axId val="6707751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77942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033" r="0.750000000000000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spc="0" baseline="0">
                <a:solidFill>
                  <a:schemeClr val="tx1">
                    <a:lumMod val="65000"/>
                    <a:lumOff val="35000"/>
                  </a:schemeClr>
                </a:solidFill>
                <a:latin typeface="+mn-lt"/>
                <a:ea typeface="+mn-ea"/>
                <a:cs typeface="+mn-cs"/>
              </a:defRPr>
            </a:pPr>
            <a:r>
              <a:rPr lang="en-US" sz="1800" b="1"/>
              <a:t>Current Month Budget Variance</a:t>
            </a:r>
          </a:p>
        </c:rich>
      </c:tx>
      <c:layout>
        <c:manualLayout>
          <c:xMode val="edge"/>
          <c:yMode val="edge"/>
          <c:x val="0.1926909734789809"/>
          <c:y val="3.2542328223259413E-2"/>
        </c:manualLayout>
      </c:layout>
      <c:overlay val="0"/>
      <c:spPr>
        <a:noFill/>
        <a:ln>
          <a:noFill/>
        </a:ln>
        <a:effectLst/>
      </c:spPr>
      <c:txPr>
        <a:bodyPr rot="0" spcFirstLastPara="1" vertOverflow="ellipsis" vert="horz" wrap="square" anchor="t"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001775129966388"/>
          <c:y val="0.18544616993440982"/>
          <c:w val="0.67431014165588077"/>
          <c:h val="0.62694590377268877"/>
        </c:manualLayout>
      </c:layout>
      <c:barChart>
        <c:barDir val="bar"/>
        <c:grouping val="clustered"/>
        <c:varyColors val="0"/>
        <c:ser>
          <c:idx val="2"/>
          <c:order val="0"/>
          <c:tx>
            <c:strRef>
              <c:f>'Dept IS'!$K$13</c:f>
              <c:strCache>
                <c:ptCount val="1"/>
                <c:pt idx="0">
                  <c:v>Variance</c:v>
                </c:pt>
              </c:strCache>
            </c:strRef>
          </c:tx>
          <c:spPr>
            <a:solidFill>
              <a:schemeClr val="accent5"/>
            </a:solidFill>
            <a:ln>
              <a:noFill/>
            </a:ln>
            <a:effectLst/>
          </c:spPr>
          <c:invertIfNegative val="0"/>
          <c:cat>
            <c:strRef>
              <c:f>('Dept IS'!$D$19,'Dept IS'!$D$32,'Dept IS'!$D$44)</c:f>
              <c:strCache>
                <c:ptCount val="3"/>
                <c:pt idx="0">
                  <c:v>Total Revenue</c:v>
                </c:pt>
                <c:pt idx="1">
                  <c:v>Gross Profit</c:v>
                </c:pt>
                <c:pt idx="2">
                  <c:v>Departmental Profit</c:v>
                </c:pt>
              </c:strCache>
            </c:strRef>
          </c:cat>
          <c:val>
            <c:numRef>
              <c:f>('Dept IS'!$K$19,'Dept IS'!$K$32,'Dept IS'!$K$44)</c:f>
              <c:numCache>
                <c:formatCode>_(* #,##0_);_(* \(#,##0\);_(* "-"??_);_(@_)</c:formatCode>
                <c:ptCount val="3"/>
                <c:pt idx="0">
                  <c:v>17291.700000000012</c:v>
                </c:pt>
                <c:pt idx="1">
                  <c:v>635.34999999991851</c:v>
                </c:pt>
                <c:pt idx="2" formatCode="_(&quot;$&quot;* #,##0_);_(&quot;$&quot;* \(#,##0\);_(&quot;$&quot;* &quot;-&quot;??_);_(@_)">
                  <c:v>-580.6600000000908</c:v>
                </c:pt>
              </c:numCache>
            </c:numRef>
          </c:val>
          <c:extLst>
            <c:ext xmlns:c16="http://schemas.microsoft.com/office/drawing/2014/chart" uri="{C3380CC4-5D6E-409C-BE32-E72D297353CC}">
              <c16:uniqueId val="{00000000-D247-4B32-91B6-62B00C8243AC}"/>
            </c:ext>
          </c:extLst>
        </c:ser>
        <c:ser>
          <c:idx val="1"/>
          <c:order val="1"/>
          <c:tx>
            <c:strRef>
              <c:f>'Dept IS'!$I$13</c:f>
              <c:strCache>
                <c:ptCount val="1"/>
                <c:pt idx="0">
                  <c:v>Actual</c:v>
                </c:pt>
              </c:strCache>
            </c:strRef>
          </c:tx>
          <c:spPr>
            <a:solidFill>
              <a:schemeClr val="accent3"/>
            </a:solidFill>
            <a:ln>
              <a:noFill/>
            </a:ln>
            <a:effectLst/>
          </c:spPr>
          <c:invertIfNegative val="0"/>
          <c:cat>
            <c:strRef>
              <c:f>('Dept IS'!$D$19,'Dept IS'!$D$32,'Dept IS'!$D$44)</c:f>
              <c:strCache>
                <c:ptCount val="3"/>
                <c:pt idx="0">
                  <c:v>Total Revenue</c:v>
                </c:pt>
                <c:pt idx="1">
                  <c:v>Gross Profit</c:v>
                </c:pt>
                <c:pt idx="2">
                  <c:v>Departmental Profit</c:v>
                </c:pt>
              </c:strCache>
            </c:strRef>
          </c:cat>
          <c:val>
            <c:numRef>
              <c:f>('Dept IS'!$I$19,'Dept IS'!$I$32,'Dept IS'!$I$44)</c:f>
              <c:numCache>
                <c:formatCode>_(* #,##0_);_(* \(#,##0\);_(* "-"??_);_(@_)</c:formatCode>
                <c:ptCount val="3"/>
                <c:pt idx="0">
                  <c:v>563408.43999999994</c:v>
                </c:pt>
                <c:pt idx="1">
                  <c:v>245850.60999999993</c:v>
                </c:pt>
                <c:pt idx="2" formatCode="_(&quot;$&quot;* #,##0_);_(&quot;$&quot;* \(#,##0\);_(&quot;$&quot;* &quot;-&quot;??_);_(@_)">
                  <c:v>193340.48999999993</c:v>
                </c:pt>
              </c:numCache>
            </c:numRef>
          </c:val>
          <c:extLst>
            <c:ext xmlns:c16="http://schemas.microsoft.com/office/drawing/2014/chart" uri="{C3380CC4-5D6E-409C-BE32-E72D297353CC}">
              <c16:uniqueId val="{00000001-D247-4B32-91B6-62B00C8243AC}"/>
            </c:ext>
          </c:extLst>
        </c:ser>
        <c:ser>
          <c:idx val="0"/>
          <c:order val="2"/>
          <c:tx>
            <c:strRef>
              <c:f>'Dept IS'!$J$13</c:f>
              <c:strCache>
                <c:ptCount val="1"/>
                <c:pt idx="0">
                  <c:v>Budget</c:v>
                </c:pt>
              </c:strCache>
            </c:strRef>
          </c:tx>
          <c:spPr>
            <a:solidFill>
              <a:schemeClr val="accent1"/>
            </a:solidFill>
            <a:ln>
              <a:noFill/>
            </a:ln>
            <a:effectLst/>
          </c:spPr>
          <c:invertIfNegative val="0"/>
          <c:cat>
            <c:strRef>
              <c:f>('Dept IS'!$D$19,'Dept IS'!$D$32,'Dept IS'!$D$44)</c:f>
              <c:strCache>
                <c:ptCount val="3"/>
                <c:pt idx="0">
                  <c:v>Total Revenue</c:v>
                </c:pt>
                <c:pt idx="1">
                  <c:v>Gross Profit</c:v>
                </c:pt>
                <c:pt idx="2">
                  <c:v>Departmental Profit</c:v>
                </c:pt>
              </c:strCache>
            </c:strRef>
          </c:cat>
          <c:val>
            <c:numRef>
              <c:f>('Dept IS'!$J$19,'Dept IS'!$J$32,'Dept IS'!$J$44)</c:f>
              <c:numCache>
                <c:formatCode>_(* #,##0_);_(* \(#,##0\);_(* "-"??_);_(@_)</c:formatCode>
                <c:ptCount val="3"/>
                <c:pt idx="0">
                  <c:v>546116.74</c:v>
                </c:pt>
                <c:pt idx="1">
                  <c:v>245215.26</c:v>
                </c:pt>
                <c:pt idx="2" formatCode="_(&quot;$&quot;* #,##0_);_(&quot;$&quot;* \(#,##0\);_(&quot;$&quot;* &quot;-&quot;??_);_(@_)">
                  <c:v>193921.15000000002</c:v>
                </c:pt>
              </c:numCache>
            </c:numRef>
          </c:val>
          <c:extLst>
            <c:ext xmlns:c16="http://schemas.microsoft.com/office/drawing/2014/chart" uri="{C3380CC4-5D6E-409C-BE32-E72D297353CC}">
              <c16:uniqueId val="{00000002-D247-4B32-91B6-62B00C8243AC}"/>
            </c:ext>
          </c:extLst>
        </c:ser>
        <c:dLbls>
          <c:showLegendKey val="0"/>
          <c:showVal val="0"/>
          <c:showCatName val="0"/>
          <c:showSerName val="0"/>
          <c:showPercent val="0"/>
          <c:showBubbleSize val="0"/>
        </c:dLbls>
        <c:gapWidth val="182"/>
        <c:axId val="670776288"/>
        <c:axId val="670778248"/>
      </c:barChart>
      <c:catAx>
        <c:axId val="670776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778248"/>
        <c:crosses val="autoZero"/>
        <c:auto val="1"/>
        <c:lblAlgn val="ctr"/>
        <c:lblOffset val="100"/>
        <c:tickLblSkip val="1"/>
        <c:tickMarkSkip val="1"/>
        <c:noMultiLvlLbl val="0"/>
      </c:catAx>
      <c:valAx>
        <c:axId val="670778248"/>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7762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033" r="0.750000000000000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t" anchorCtr="1"/>
          <a:lstStyle/>
          <a:p>
            <a:pPr>
              <a:defRPr sz="1800" b="1" i="0" u="none" strike="noStrike" kern="1200" spc="0" baseline="0">
                <a:solidFill>
                  <a:schemeClr val="tx1">
                    <a:lumMod val="65000"/>
                    <a:lumOff val="35000"/>
                  </a:schemeClr>
                </a:solidFill>
                <a:latin typeface="+mn-lt"/>
                <a:ea typeface="+mn-ea"/>
                <a:cs typeface="+mn-cs"/>
              </a:defRPr>
            </a:pPr>
            <a:r>
              <a:rPr lang="en-US" sz="1800" b="1"/>
              <a:t>Quarterly Profit Trend</a:t>
            </a:r>
          </a:p>
        </c:rich>
      </c:tx>
      <c:layout>
        <c:manualLayout>
          <c:xMode val="edge"/>
          <c:yMode val="edge"/>
          <c:x val="0.26565044409869182"/>
          <c:y val="3.6789230175056947E-2"/>
        </c:manualLayout>
      </c:layout>
      <c:overlay val="0"/>
      <c:spPr>
        <a:noFill/>
        <a:ln>
          <a:noFill/>
        </a:ln>
        <a:effectLst/>
      </c:spPr>
      <c:txPr>
        <a:bodyPr rot="0" spcFirstLastPara="1" vertOverflow="ellipsis" vert="horz" wrap="square" anchor="t"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hPercent val="10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177948415828742"/>
          <c:y val="0.17391304347826103"/>
          <c:w val="0.55879248847805341"/>
          <c:h val="0.69565217391304368"/>
        </c:manualLayout>
      </c:layout>
      <c:bar3DChart>
        <c:barDir val="col"/>
        <c:grouping val="clustered"/>
        <c:varyColors val="0"/>
        <c:ser>
          <c:idx val="0"/>
          <c:order val="0"/>
          <c:tx>
            <c:strRef>
              <c:f>'Dept IS'!$D$19</c:f>
              <c:strCache>
                <c:ptCount val="1"/>
                <c:pt idx="0">
                  <c:v>Total Revenue</c:v>
                </c:pt>
              </c:strCache>
            </c:strRef>
          </c:tx>
          <c:spPr>
            <a:solidFill>
              <a:schemeClr val="accent1">
                <a:shade val="65000"/>
              </a:schemeClr>
            </a:solidFill>
            <a:ln>
              <a:noFill/>
            </a:ln>
            <a:effectLst/>
            <a:sp3d/>
          </c:spPr>
          <c:invertIfNegative val="0"/>
          <c:cat>
            <c:strRef>
              <c:f>'Dept IS'!$Q$13:$T$13</c:f>
              <c:strCache>
                <c:ptCount val="4"/>
                <c:pt idx="0">
                  <c:v>Jun-Aug</c:v>
                </c:pt>
                <c:pt idx="1">
                  <c:v>Sep-Nov</c:v>
                </c:pt>
                <c:pt idx="2">
                  <c:v>Dec-Feb</c:v>
                </c:pt>
                <c:pt idx="3">
                  <c:v>Mar-May</c:v>
                </c:pt>
              </c:strCache>
            </c:strRef>
          </c:cat>
          <c:val>
            <c:numRef>
              <c:f>'Dept IS'!$Q$19:$T$19</c:f>
              <c:numCache>
                <c:formatCode>_(* #,##0_);_(* \(#,##0\);_(* "-"??_);_(@_)</c:formatCode>
                <c:ptCount val="4"/>
                <c:pt idx="0">
                  <c:v>1346571.77</c:v>
                </c:pt>
                <c:pt idx="1">
                  <c:v>1447282.28</c:v>
                </c:pt>
                <c:pt idx="2">
                  <c:v>1563415.6</c:v>
                </c:pt>
                <c:pt idx="3">
                  <c:v>1595232.7</c:v>
                </c:pt>
              </c:numCache>
            </c:numRef>
          </c:val>
          <c:extLst>
            <c:ext xmlns:c16="http://schemas.microsoft.com/office/drawing/2014/chart" uri="{C3380CC4-5D6E-409C-BE32-E72D297353CC}">
              <c16:uniqueId val="{00000000-9875-4255-AA75-86A12F012C00}"/>
            </c:ext>
          </c:extLst>
        </c:ser>
        <c:ser>
          <c:idx val="1"/>
          <c:order val="1"/>
          <c:tx>
            <c:strRef>
              <c:f>'Dept IS'!$D$32</c:f>
              <c:strCache>
                <c:ptCount val="1"/>
                <c:pt idx="0">
                  <c:v>Gross Profit</c:v>
                </c:pt>
              </c:strCache>
            </c:strRef>
          </c:tx>
          <c:spPr>
            <a:solidFill>
              <a:schemeClr val="accent1"/>
            </a:solidFill>
            <a:ln>
              <a:noFill/>
            </a:ln>
            <a:effectLst/>
            <a:sp3d/>
          </c:spPr>
          <c:invertIfNegative val="0"/>
          <c:val>
            <c:numRef>
              <c:f>'Dept IS'!$Q$32:$T$32</c:f>
              <c:numCache>
                <c:formatCode>_(* #,##0_);_(* \(#,##0\);_(* "-"??_);_(@_)</c:formatCode>
                <c:ptCount val="4"/>
                <c:pt idx="0">
                  <c:v>592429.66</c:v>
                </c:pt>
                <c:pt idx="1">
                  <c:v>641072.19000000006</c:v>
                </c:pt>
                <c:pt idx="2">
                  <c:v>696411.96000000008</c:v>
                </c:pt>
                <c:pt idx="3">
                  <c:v>695413.26</c:v>
                </c:pt>
              </c:numCache>
            </c:numRef>
          </c:val>
          <c:extLst>
            <c:ext xmlns:c16="http://schemas.microsoft.com/office/drawing/2014/chart" uri="{C3380CC4-5D6E-409C-BE32-E72D297353CC}">
              <c16:uniqueId val="{00000001-9875-4255-AA75-86A12F012C00}"/>
            </c:ext>
          </c:extLst>
        </c:ser>
        <c:ser>
          <c:idx val="2"/>
          <c:order val="2"/>
          <c:tx>
            <c:strRef>
              <c:f>'Dept IS'!$D$44</c:f>
              <c:strCache>
                <c:ptCount val="1"/>
                <c:pt idx="0">
                  <c:v>Departmental Profit</c:v>
                </c:pt>
              </c:strCache>
            </c:strRef>
          </c:tx>
          <c:spPr>
            <a:solidFill>
              <a:schemeClr val="accent1">
                <a:tint val="65000"/>
              </a:schemeClr>
            </a:solidFill>
            <a:ln>
              <a:noFill/>
            </a:ln>
            <a:effectLst/>
            <a:sp3d/>
          </c:spPr>
          <c:invertIfNegative val="0"/>
          <c:val>
            <c:numRef>
              <c:f>'Dept IS'!$Q$44:$T$44</c:f>
              <c:numCache>
                <c:formatCode>_("$"* #,##0_);_("$"* \(#,##0\);_("$"* "-"??_);_(@_)</c:formatCode>
                <c:ptCount val="4"/>
                <c:pt idx="0">
                  <c:v>477281.24000000005</c:v>
                </c:pt>
                <c:pt idx="1">
                  <c:v>532959.70000000007</c:v>
                </c:pt>
                <c:pt idx="2">
                  <c:v>559770.76</c:v>
                </c:pt>
                <c:pt idx="3">
                  <c:v>536329.97</c:v>
                </c:pt>
              </c:numCache>
            </c:numRef>
          </c:val>
          <c:extLst>
            <c:ext xmlns:c16="http://schemas.microsoft.com/office/drawing/2014/chart" uri="{C3380CC4-5D6E-409C-BE32-E72D297353CC}">
              <c16:uniqueId val="{00000002-9875-4255-AA75-86A12F012C00}"/>
            </c:ext>
          </c:extLst>
        </c:ser>
        <c:dLbls>
          <c:showLegendKey val="0"/>
          <c:showVal val="0"/>
          <c:showCatName val="0"/>
          <c:showSerName val="0"/>
          <c:showPercent val="0"/>
          <c:showBubbleSize val="0"/>
        </c:dLbls>
        <c:gapWidth val="150"/>
        <c:shape val="box"/>
        <c:axId val="670772760"/>
        <c:axId val="670779816"/>
        <c:axId val="0"/>
      </c:bar3DChart>
      <c:catAx>
        <c:axId val="670772760"/>
        <c:scaling>
          <c:orientation val="minMax"/>
        </c:scaling>
        <c:delete val="0"/>
        <c:axPos val="b"/>
        <c:numFmt formatCode="General" sourceLinked="1"/>
        <c:majorTickMark val="none"/>
        <c:minorTickMark val="none"/>
        <c:tickLblPos val="low"/>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779816"/>
        <c:crosses val="autoZero"/>
        <c:auto val="1"/>
        <c:lblAlgn val="ctr"/>
        <c:lblOffset val="100"/>
        <c:tickLblSkip val="1"/>
        <c:tickMarkSkip val="1"/>
        <c:noMultiLvlLbl val="0"/>
      </c:catAx>
      <c:valAx>
        <c:axId val="6707798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77276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033" r="0.750000000000000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spc="0" baseline="0">
                <a:solidFill>
                  <a:schemeClr val="tx1">
                    <a:lumMod val="65000"/>
                    <a:lumOff val="35000"/>
                  </a:schemeClr>
                </a:solidFill>
                <a:latin typeface="+mn-lt"/>
                <a:ea typeface="+mn-ea"/>
                <a:cs typeface="+mn-cs"/>
              </a:defRPr>
            </a:pPr>
            <a:r>
              <a:rPr lang="en-US" sz="1800" b="1"/>
              <a:t>YTD Budget Variance</a:t>
            </a:r>
          </a:p>
        </c:rich>
      </c:tx>
      <c:layout>
        <c:manualLayout>
          <c:xMode val="edge"/>
          <c:yMode val="edge"/>
          <c:x val="0.29770364585201886"/>
          <c:y val="3.2896625873573032E-2"/>
        </c:manualLayout>
      </c:layout>
      <c:overlay val="0"/>
      <c:spPr>
        <a:noFill/>
        <a:ln>
          <a:noFill/>
        </a:ln>
        <a:effectLst/>
      </c:spPr>
      <c:txPr>
        <a:bodyPr rot="0" spcFirstLastPara="1" vertOverflow="ellipsis" vert="horz" wrap="square" anchor="t"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187382990977234E-2"/>
          <c:y val="0.1711412200169424"/>
          <c:w val="0.73608432482967812"/>
          <c:h val="0.67972678114030927"/>
        </c:manualLayout>
      </c:layout>
      <c:barChart>
        <c:barDir val="bar"/>
        <c:grouping val="clustered"/>
        <c:varyColors val="0"/>
        <c:ser>
          <c:idx val="0"/>
          <c:order val="0"/>
          <c:tx>
            <c:strRef>
              <c:f>'Dept IS'!$O$13</c:f>
              <c:strCache>
                <c:ptCount val="1"/>
                <c:pt idx="0">
                  <c:v>Variance</c:v>
                </c:pt>
              </c:strCache>
            </c:strRef>
          </c:tx>
          <c:spPr>
            <a:solidFill>
              <a:schemeClr val="accent1"/>
            </a:solidFill>
            <a:ln>
              <a:noFill/>
            </a:ln>
            <a:effectLst/>
          </c:spPr>
          <c:invertIfNegative val="0"/>
          <c:cat>
            <c:strRef>
              <c:f>('Dept IS'!$D$19,'Dept IS'!$D$32,'Dept IS'!$D$44)</c:f>
              <c:strCache>
                <c:ptCount val="3"/>
                <c:pt idx="0">
                  <c:v>Total Revenue</c:v>
                </c:pt>
                <c:pt idx="1">
                  <c:v>Gross Profit</c:v>
                </c:pt>
                <c:pt idx="2">
                  <c:v>Departmental Profit</c:v>
                </c:pt>
              </c:strCache>
            </c:strRef>
          </c:cat>
          <c:val>
            <c:numRef>
              <c:f>('Dept IS'!$O$19,'Dept IS'!$O$32,'Dept IS'!$O$44)</c:f>
              <c:numCache>
                <c:formatCode>_(* #,##0_);_(* \(#,##0\);_(* "-"??_);_(@_)</c:formatCode>
                <c:ptCount val="3"/>
                <c:pt idx="0">
                  <c:v>118101.79999999977</c:v>
                </c:pt>
                <c:pt idx="1">
                  <c:v>2171.7599999993108</c:v>
                </c:pt>
                <c:pt idx="2" formatCode="_(&quot;$&quot;* #,##0_);_(&quot;$&quot;* \(#,##0\);_(&quot;$&quot;* &quot;-&quot;??_);_(@_)">
                  <c:v>-22063.290000000619</c:v>
                </c:pt>
              </c:numCache>
            </c:numRef>
          </c:val>
          <c:extLst>
            <c:ext xmlns:c16="http://schemas.microsoft.com/office/drawing/2014/chart" uri="{C3380CC4-5D6E-409C-BE32-E72D297353CC}">
              <c16:uniqueId val="{00000000-2899-4BD9-82B7-A7D9D6A10FCD}"/>
            </c:ext>
          </c:extLst>
        </c:ser>
        <c:ser>
          <c:idx val="2"/>
          <c:order val="1"/>
          <c:tx>
            <c:strRef>
              <c:f>'Dept IS'!$M$13</c:f>
              <c:strCache>
                <c:ptCount val="1"/>
                <c:pt idx="0">
                  <c:v>Actual</c:v>
                </c:pt>
              </c:strCache>
            </c:strRef>
          </c:tx>
          <c:spPr>
            <a:solidFill>
              <a:schemeClr val="accent5"/>
            </a:solidFill>
            <a:ln>
              <a:noFill/>
            </a:ln>
            <a:effectLst/>
          </c:spPr>
          <c:invertIfNegative val="0"/>
          <c:cat>
            <c:strRef>
              <c:f>('Dept IS'!$D$19,'Dept IS'!$D$32,'Dept IS'!$D$44)</c:f>
              <c:strCache>
                <c:ptCount val="3"/>
                <c:pt idx="0">
                  <c:v>Total Revenue</c:v>
                </c:pt>
                <c:pt idx="1">
                  <c:v>Gross Profit</c:v>
                </c:pt>
                <c:pt idx="2">
                  <c:v>Departmental Profit</c:v>
                </c:pt>
              </c:strCache>
            </c:strRef>
          </c:cat>
          <c:val>
            <c:numRef>
              <c:f>('Dept IS'!$M$19,'Dept IS'!$M$32,'Dept IS'!$M$44)</c:f>
              <c:numCache>
                <c:formatCode>_(* #,##0_);_(* \(#,##0\);_(* "-"??_);_(@_)</c:formatCode>
                <c:ptCount val="3"/>
                <c:pt idx="0">
                  <c:v>2669403.9799999995</c:v>
                </c:pt>
                <c:pt idx="1">
                  <c:v>1170906.7799999996</c:v>
                </c:pt>
                <c:pt idx="2" formatCode="_(&quot;$&quot;* #,##0_);_(&quot;$&quot;* \(#,##0\);_(&quot;$&quot;* &quot;-&quot;??_);_(@_)">
                  <c:v>919083.18999999959</c:v>
                </c:pt>
              </c:numCache>
            </c:numRef>
          </c:val>
          <c:extLst>
            <c:ext xmlns:c16="http://schemas.microsoft.com/office/drawing/2014/chart" uri="{C3380CC4-5D6E-409C-BE32-E72D297353CC}">
              <c16:uniqueId val="{00000001-2899-4BD9-82B7-A7D9D6A10FCD}"/>
            </c:ext>
          </c:extLst>
        </c:ser>
        <c:ser>
          <c:idx val="1"/>
          <c:order val="2"/>
          <c:tx>
            <c:strRef>
              <c:f>'Dept IS'!$N$13</c:f>
              <c:strCache>
                <c:ptCount val="1"/>
                <c:pt idx="0">
                  <c:v>Budget</c:v>
                </c:pt>
              </c:strCache>
            </c:strRef>
          </c:tx>
          <c:spPr>
            <a:solidFill>
              <a:schemeClr val="accent3"/>
            </a:solidFill>
            <a:ln>
              <a:noFill/>
            </a:ln>
            <a:effectLst/>
          </c:spPr>
          <c:invertIfNegative val="0"/>
          <c:cat>
            <c:strRef>
              <c:f>('Dept IS'!$D$19,'Dept IS'!$D$32,'Dept IS'!$D$44)</c:f>
              <c:strCache>
                <c:ptCount val="3"/>
                <c:pt idx="0">
                  <c:v>Total Revenue</c:v>
                </c:pt>
                <c:pt idx="1">
                  <c:v>Gross Profit</c:v>
                </c:pt>
                <c:pt idx="2">
                  <c:v>Departmental Profit</c:v>
                </c:pt>
              </c:strCache>
            </c:strRef>
          </c:cat>
          <c:val>
            <c:numRef>
              <c:f>('Dept IS'!$N$19,'Dept IS'!$N$32,'Dept IS'!$N$44)</c:f>
              <c:numCache>
                <c:formatCode>_(* #,##0_);_(* \(#,##0\);_(* "-"??_);_(@_)</c:formatCode>
                <c:ptCount val="3"/>
                <c:pt idx="0">
                  <c:v>2551302.1800000002</c:v>
                </c:pt>
                <c:pt idx="1">
                  <c:v>1168735.0200000003</c:v>
                </c:pt>
                <c:pt idx="2" formatCode="_(&quot;$&quot;* #,##0_);_(&quot;$&quot;* \(#,##0\);_(&quot;$&quot;* &quot;-&quot;??_);_(@_)">
                  <c:v>941146.48000000021</c:v>
                </c:pt>
              </c:numCache>
            </c:numRef>
          </c:val>
          <c:extLst>
            <c:ext xmlns:c16="http://schemas.microsoft.com/office/drawing/2014/chart" uri="{C3380CC4-5D6E-409C-BE32-E72D297353CC}">
              <c16:uniqueId val="{00000002-2899-4BD9-82B7-A7D9D6A10FCD}"/>
            </c:ext>
          </c:extLst>
        </c:ser>
        <c:dLbls>
          <c:showLegendKey val="0"/>
          <c:showVal val="0"/>
          <c:showCatName val="0"/>
          <c:showSerName val="0"/>
          <c:showPercent val="0"/>
          <c:showBubbleSize val="0"/>
        </c:dLbls>
        <c:gapWidth val="182"/>
        <c:axId val="670780600"/>
        <c:axId val="670777464"/>
      </c:barChart>
      <c:catAx>
        <c:axId val="670780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777464"/>
        <c:crosses val="autoZero"/>
        <c:auto val="1"/>
        <c:lblAlgn val="ctr"/>
        <c:lblOffset val="100"/>
        <c:tickLblSkip val="1"/>
        <c:tickMarkSkip val="1"/>
        <c:noMultiLvlLbl val="0"/>
      </c:catAx>
      <c:valAx>
        <c:axId val="670777464"/>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7806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033" r="0.750000000000000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n-US" sz="2000"/>
              <a:t>Changes in Current Assets and Liabilities</a:t>
            </a:r>
          </a:p>
        </c:rich>
      </c:tx>
      <c:layout>
        <c:manualLayout>
          <c:xMode val="edge"/>
          <c:yMode val="edge"/>
          <c:x val="0.10424028268551237"/>
          <c:y val="1.2070092800899886E-2"/>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6961130742049482"/>
          <c:y val="0.10416678440436973"/>
          <c:w val="0.54240282685512364"/>
          <c:h val="0.86996258249990999"/>
        </c:manualLayout>
      </c:layout>
      <c:barChart>
        <c:barDir val="col"/>
        <c:grouping val="clustered"/>
        <c:varyColors val="0"/>
        <c:ser>
          <c:idx val="0"/>
          <c:order val="0"/>
          <c:tx>
            <c:strRef>
              <c:f>'Cash Flow'!$D$17</c:f>
              <c:strCache>
                <c:ptCount val="1"/>
                <c:pt idx="0">
                  <c:v>Accum. Depreciation, Vehicles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Flow'!$E$17</c:f>
              <c:numCache>
                <c:formatCode>_(* #,##0_);_(* \(#,##0\);_(* "-"??_);_(@_)</c:formatCode>
                <c:ptCount val="1"/>
                <c:pt idx="0">
                  <c:v>0</c:v>
                </c:pt>
              </c:numCache>
            </c:numRef>
          </c:val>
          <c:extLst>
            <c:ext xmlns:c16="http://schemas.microsoft.com/office/drawing/2014/chart" uri="{C3380CC4-5D6E-409C-BE32-E72D297353CC}">
              <c16:uniqueId val="{00000000-4A9D-4421-961A-0D7A55913A1A}"/>
            </c:ext>
          </c:extLst>
        </c:ser>
        <c:ser>
          <c:idx val="1"/>
          <c:order val="1"/>
          <c:tx>
            <c:strRef>
              <c:f>'Cash Flow'!$D$18</c:f>
              <c:strCache>
                <c:ptCount val="1"/>
                <c:pt idx="0">
                  <c:v>Securities, Total</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Flow'!$E$18</c:f>
              <c:numCache>
                <c:formatCode>_(* #,##0_);_(* \(#,##0\);_(* "-"??_);_(@_)</c:formatCode>
                <c:ptCount val="1"/>
                <c:pt idx="0">
                  <c:v>0</c:v>
                </c:pt>
              </c:numCache>
            </c:numRef>
          </c:val>
          <c:extLst>
            <c:ext xmlns:c16="http://schemas.microsoft.com/office/drawing/2014/chart" uri="{C3380CC4-5D6E-409C-BE32-E72D297353CC}">
              <c16:uniqueId val="{00000001-4A9D-4421-961A-0D7A55913A1A}"/>
            </c:ext>
          </c:extLst>
        </c:ser>
        <c:ser>
          <c:idx val="2"/>
          <c:order val="2"/>
          <c:tx>
            <c:strRef>
              <c:f>'Cash Flow'!$D$19</c:f>
              <c:strCache>
                <c:ptCount val="1"/>
                <c:pt idx="0">
                  <c:v>Accounts Receivable, Total</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Flow'!$E$19</c:f>
              <c:numCache>
                <c:formatCode>_(* #,##0_);_(* \(#,##0\);_(* "-"??_);_(@_)</c:formatCode>
                <c:ptCount val="1"/>
                <c:pt idx="0">
                  <c:v>-5096355.75</c:v>
                </c:pt>
              </c:numCache>
            </c:numRef>
          </c:val>
          <c:extLst>
            <c:ext xmlns:c16="http://schemas.microsoft.com/office/drawing/2014/chart" uri="{C3380CC4-5D6E-409C-BE32-E72D297353CC}">
              <c16:uniqueId val="{00000002-4A9D-4421-961A-0D7A55913A1A}"/>
            </c:ext>
          </c:extLst>
        </c:ser>
        <c:ser>
          <c:idx val="3"/>
          <c:order val="3"/>
          <c:tx>
            <c:strRef>
              <c:f>'Cash Flow'!$D$20</c:f>
              <c:strCache>
                <c:ptCount val="1"/>
                <c:pt idx="0">
                  <c:v>Inventory, Total</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Flow'!$E$20</c:f>
              <c:numCache>
                <c:formatCode>_(* #,##0_);_(* \(#,##0\);_(* "-"??_);_(@_)</c:formatCode>
                <c:ptCount val="1"/>
                <c:pt idx="0">
                  <c:v>-754306.02</c:v>
                </c:pt>
              </c:numCache>
            </c:numRef>
          </c:val>
          <c:extLst>
            <c:ext xmlns:c16="http://schemas.microsoft.com/office/drawing/2014/chart" uri="{C3380CC4-5D6E-409C-BE32-E72D297353CC}">
              <c16:uniqueId val="{00000003-4A9D-4421-961A-0D7A55913A1A}"/>
            </c:ext>
          </c:extLst>
        </c:ser>
        <c:ser>
          <c:idx val="4"/>
          <c:order val="4"/>
          <c:tx>
            <c:strRef>
              <c:f>'Cash Flow'!$D$21</c:f>
              <c:strCache>
                <c:ptCount val="1"/>
                <c:pt idx="0">
                  <c:v>Purchase Prepayments, Total</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Flow'!$E$21</c:f>
              <c:numCache>
                <c:formatCode>_(* #,##0_);_(* \(#,##0\);_(* "-"??_);_(@_)</c:formatCode>
                <c:ptCount val="1"/>
                <c:pt idx="0">
                  <c:v>0</c:v>
                </c:pt>
              </c:numCache>
            </c:numRef>
          </c:val>
          <c:extLst>
            <c:ext xmlns:c16="http://schemas.microsoft.com/office/drawing/2014/chart" uri="{C3380CC4-5D6E-409C-BE32-E72D297353CC}">
              <c16:uniqueId val="{00000004-4A9D-4421-961A-0D7A55913A1A}"/>
            </c:ext>
          </c:extLst>
        </c:ser>
        <c:ser>
          <c:idx val="5"/>
          <c:order val="5"/>
          <c:tx>
            <c:strRef>
              <c:f>'Cash Flow'!$D$22</c:f>
              <c:strCache>
                <c:ptCount val="1"/>
                <c:pt idx="0">
                  <c:v>Accounts Payable, Total</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Flow'!$E$22</c:f>
              <c:numCache>
                <c:formatCode>_(* #,##0_);_(* \(#,##0\);_(* "-"??_);_(@_)</c:formatCode>
                <c:ptCount val="1"/>
                <c:pt idx="0">
                  <c:v>7436760.5700000003</c:v>
                </c:pt>
              </c:numCache>
            </c:numRef>
          </c:val>
          <c:extLst>
            <c:ext xmlns:c16="http://schemas.microsoft.com/office/drawing/2014/chart" uri="{C3380CC4-5D6E-409C-BE32-E72D297353CC}">
              <c16:uniqueId val="{00000005-4A9D-4421-961A-0D7A55913A1A}"/>
            </c:ext>
          </c:extLst>
        </c:ser>
        <c:ser>
          <c:idx val="6"/>
          <c:order val="6"/>
          <c:tx>
            <c:strRef>
              <c:f>'Cash Flow'!$D$23</c:f>
              <c:strCache>
                <c:ptCount val="1"/>
                <c:pt idx="0">
                  <c:v>Revolving Credit</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Flow'!$E$23</c:f>
              <c:numCache>
                <c:formatCode>_(* #,##0_);_(* \(#,##0\);_(* "-"??_);_(@_)</c:formatCode>
                <c:ptCount val="1"/>
                <c:pt idx="0">
                  <c:v>0</c:v>
                </c:pt>
              </c:numCache>
            </c:numRef>
          </c:val>
          <c:extLst>
            <c:ext xmlns:c16="http://schemas.microsoft.com/office/drawing/2014/chart" uri="{C3380CC4-5D6E-409C-BE32-E72D297353CC}">
              <c16:uniqueId val="{00000006-4A9D-4421-961A-0D7A55913A1A}"/>
            </c:ext>
          </c:extLst>
        </c:ser>
        <c:ser>
          <c:idx val="7"/>
          <c:order val="7"/>
          <c:tx>
            <c:strRef>
              <c:f>'Cash Flow'!$D$24</c:f>
              <c:strCache>
                <c:ptCount val="1"/>
                <c:pt idx="0">
                  <c:v>Total Personnel-related Items</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Flow'!$E$24</c:f>
              <c:numCache>
                <c:formatCode>_(* #,##0_);_(* \(#,##0\);_(* "-"??_);_(@_)</c:formatCode>
                <c:ptCount val="1"/>
                <c:pt idx="0">
                  <c:v>0</c:v>
                </c:pt>
              </c:numCache>
            </c:numRef>
          </c:val>
          <c:extLst>
            <c:ext xmlns:c16="http://schemas.microsoft.com/office/drawing/2014/chart" uri="{C3380CC4-5D6E-409C-BE32-E72D297353CC}">
              <c16:uniqueId val="{00000007-4A9D-4421-961A-0D7A55913A1A}"/>
            </c:ext>
          </c:extLst>
        </c:ser>
        <c:ser>
          <c:idx val="8"/>
          <c:order val="8"/>
          <c:tx>
            <c:strRef>
              <c:f>'Cash Flow'!$D$25</c:f>
              <c:strCache>
                <c:ptCount val="1"/>
                <c:pt idx="0">
                  <c:v>Other Liabilities, Total</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Flow'!$E$25</c:f>
              <c:numCache>
                <c:formatCode>_(* #,##0_);_(* \(#,##0\);_(* "-"??_);_(@_)</c:formatCode>
                <c:ptCount val="1"/>
                <c:pt idx="0">
                  <c:v>0</c:v>
                </c:pt>
              </c:numCache>
            </c:numRef>
          </c:val>
          <c:extLst>
            <c:ext xmlns:c16="http://schemas.microsoft.com/office/drawing/2014/chart" uri="{C3380CC4-5D6E-409C-BE32-E72D297353CC}">
              <c16:uniqueId val="{00000008-4A9D-4421-961A-0D7A55913A1A}"/>
            </c:ext>
          </c:extLst>
        </c:ser>
        <c:ser>
          <c:idx val="9"/>
          <c:order val="9"/>
          <c:tx>
            <c:strRef>
              <c:f>'Cash Flow'!#REF!</c:f>
              <c:strCache>
                <c:ptCount val="1"/>
                <c:pt idx="0">
                  <c:v>#REF!</c:v>
                </c:pt>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'Cash Flow'!#REF!</c:f>
              <c:numCache>
                <c:formatCode>General</c:formatCode>
                <c:ptCount val="1"/>
                <c:pt idx="0">
                  <c:v>1</c:v>
                </c:pt>
              </c:numCache>
            </c:numRef>
          </c:val>
          <c:extLst>
            <c:ext xmlns:c16="http://schemas.microsoft.com/office/drawing/2014/chart" uri="{C3380CC4-5D6E-409C-BE32-E72D297353CC}">
              <c16:uniqueId val="{00000009-4A9D-4421-961A-0D7A55913A1A}"/>
            </c:ext>
          </c:extLst>
        </c:ser>
        <c:dLbls>
          <c:showLegendKey val="0"/>
          <c:showVal val="0"/>
          <c:showCatName val="0"/>
          <c:showSerName val="0"/>
          <c:showPercent val="0"/>
          <c:showBubbleSize val="0"/>
        </c:dLbls>
        <c:gapWidth val="100"/>
        <c:overlap val="-24"/>
        <c:axId val="670777856"/>
        <c:axId val="670781384"/>
      </c:barChart>
      <c:catAx>
        <c:axId val="670777856"/>
        <c:scaling>
          <c:orientation val="minMax"/>
        </c:scaling>
        <c:delete val="1"/>
        <c:axPos val="b"/>
        <c:numFmt formatCode="General" sourceLinked="1"/>
        <c:majorTickMark val="none"/>
        <c:minorTickMark val="none"/>
        <c:tickLblPos val="nextTo"/>
        <c:crossAx val="670781384"/>
        <c:crosses val="autoZero"/>
        <c:auto val="1"/>
        <c:lblAlgn val="ctr"/>
        <c:lblOffset val="100"/>
        <c:tickMarkSkip val="1"/>
        <c:noMultiLvlLbl val="0"/>
      </c:catAx>
      <c:valAx>
        <c:axId val="670781384"/>
        <c:scaling>
          <c:orientation val="minMax"/>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n-US"/>
          </a:p>
        </c:txPr>
        <c:crossAx val="670777856"/>
        <c:crosses val="autoZero"/>
        <c:crossBetween val="between"/>
      </c:valAx>
      <c:spPr>
        <a:noFill/>
        <a:ln>
          <a:noFill/>
        </a:ln>
        <a:effectLst/>
      </c:spPr>
    </c:plotArea>
    <c:legend>
      <c:legendPos val="r"/>
      <c:legendEntry>
        <c:idx val="9"/>
        <c:delete val="1"/>
      </c:legendEntry>
      <c:layout>
        <c:manualLayout>
          <c:xMode val="edge"/>
          <c:yMode val="edge"/>
          <c:x val="0.71825194995501884"/>
          <c:y val="0.27662108642669664"/>
          <c:w val="0.27232519963273144"/>
          <c:h val="0.469867829021372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alignWithMargins="0"/>
    <c:pageMargins b="1" l="0.75000000000000033" r="0.75000000000000033" t="1" header="0.5" footer="0.5"/>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21</xdr:row>
      <xdr:rowOff>38099</xdr:rowOff>
    </xdr:from>
    <xdr:to>
      <xdr:col>4</xdr:col>
      <xdr:colOff>1390650</xdr:colOff>
      <xdr:row>39</xdr:row>
      <xdr:rowOff>11205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1427069</xdr:colOff>
      <xdr:row>21</xdr:row>
      <xdr:rowOff>23531</xdr:rowOff>
    </xdr:from>
    <xdr:to>
      <xdr:col>7</xdr:col>
      <xdr:colOff>741269</xdr:colOff>
      <xdr:row>38</xdr:row>
      <xdr:rowOff>175931</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771525</xdr:colOff>
      <xdr:row>21</xdr:row>
      <xdr:rowOff>9525</xdr:rowOff>
    </xdr:from>
    <xdr:to>
      <xdr:col>12</xdr:col>
      <xdr:colOff>200025</xdr:colOff>
      <xdr:row>38</xdr:row>
      <xdr:rowOff>161925</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5</xdr:row>
      <xdr:rowOff>38100</xdr:rowOff>
    </xdr:from>
    <xdr:to>
      <xdr:col>8</xdr:col>
      <xdr:colOff>438150</xdr:colOff>
      <xdr:row>22</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533400</xdr:colOff>
      <xdr:row>5</xdr:row>
      <xdr:rowOff>28575</xdr:rowOff>
    </xdr:from>
    <xdr:to>
      <xdr:col>16</xdr:col>
      <xdr:colOff>333375</xdr:colOff>
      <xdr:row>22</xdr:row>
      <xdr:rowOff>142875</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23</xdr:row>
      <xdr:rowOff>85725</xdr:rowOff>
    </xdr:from>
    <xdr:to>
      <xdr:col>8</xdr:col>
      <xdr:colOff>419100</xdr:colOff>
      <xdr:row>41</xdr:row>
      <xdr:rowOff>19050</xdr:rowOff>
    </xdr:to>
    <xdr:graphicFrame macro="">
      <xdr:nvGraphicFramePr>
        <xdr:cNvPr id="2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542925</xdr:colOff>
      <xdr:row>23</xdr:row>
      <xdr:rowOff>95250</xdr:rowOff>
    </xdr:from>
    <xdr:to>
      <xdr:col>16</xdr:col>
      <xdr:colOff>342900</xdr:colOff>
      <xdr:row>41</xdr:row>
      <xdr:rowOff>19050</xdr:rowOff>
    </xdr:to>
    <xdr:graphicFrame macro="">
      <xdr:nvGraphicFramePr>
        <xdr:cNvPr id="20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3</xdr:row>
      <xdr:rowOff>177800</xdr:rowOff>
    </xdr:from>
    <xdr:to>
      <xdr:col>13</xdr:col>
      <xdr:colOff>600075</xdr:colOff>
      <xdr:row>43</xdr:row>
      <xdr:rowOff>190500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tabSelected="1" workbookViewId="0"/>
  </sheetViews>
  <sheetFormatPr defaultColWidth="9.140625" defaultRowHeight="14.25" x14ac:dyDescent="0.25"/>
  <cols>
    <col min="1" max="1" width="4.42578125" style="88" hidden="1" customWidth="1"/>
    <col min="2" max="2" width="9.140625" style="88"/>
    <col min="3" max="3" width="32" style="89" bestFit="1" customWidth="1"/>
    <col min="4" max="4" width="77.28515625" style="90" customWidth="1"/>
    <col min="5" max="5" width="10.140625" style="89" customWidth="1"/>
    <col min="6" max="16384" width="9.140625" style="88"/>
  </cols>
  <sheetData>
    <row r="1" spans="1:5" ht="14.25" hidden="1" customHeight="1" x14ac:dyDescent="0.25">
      <c r="A1" s="88" t="s">
        <v>53</v>
      </c>
    </row>
    <row r="7" spans="1:5" ht="30.75" x14ac:dyDescent="0.25">
      <c r="C7" s="91" t="s">
        <v>57</v>
      </c>
    </row>
    <row r="9" spans="1:5" ht="57" x14ac:dyDescent="0.25">
      <c r="C9" s="92" t="s">
        <v>58</v>
      </c>
      <c r="D9" s="87" t="s">
        <v>85</v>
      </c>
    </row>
    <row r="10" spans="1:5" x14ac:dyDescent="0.25">
      <c r="C10" s="92"/>
    </row>
    <row r="11" spans="1:5" x14ac:dyDescent="0.25">
      <c r="C11" s="92" t="s">
        <v>87</v>
      </c>
      <c r="D11" s="90" t="s">
        <v>88</v>
      </c>
    </row>
    <row r="12" spans="1:5" ht="42.75" x14ac:dyDescent="0.25">
      <c r="C12" s="92"/>
      <c r="D12" s="94" t="s">
        <v>79</v>
      </c>
    </row>
    <row r="13" spans="1:5" x14ac:dyDescent="0.25">
      <c r="C13" s="92"/>
    </row>
    <row r="14" spans="1:5" ht="42.75" x14ac:dyDescent="0.25">
      <c r="C14" s="92" t="s">
        <v>59</v>
      </c>
      <c r="D14" s="90" t="s">
        <v>89</v>
      </c>
      <c r="E14" s="93" t="s">
        <v>82</v>
      </c>
    </row>
    <row r="15" spans="1:5" ht="16.5" customHeight="1" x14ac:dyDescent="0.25">
      <c r="C15" s="92"/>
    </row>
    <row r="16" spans="1:5" ht="28.5" x14ac:dyDescent="0.25">
      <c r="C16" s="92" t="s">
        <v>80</v>
      </c>
      <c r="D16" s="90" t="s">
        <v>90</v>
      </c>
      <c r="E16" s="93" t="s">
        <v>81</v>
      </c>
    </row>
    <row r="17" spans="3:7" x14ac:dyDescent="0.25">
      <c r="C17" s="92"/>
    </row>
    <row r="18" spans="3:7" ht="57" x14ac:dyDescent="0.25">
      <c r="C18" s="92" t="s">
        <v>86</v>
      </c>
      <c r="D18" s="90" t="s">
        <v>91</v>
      </c>
      <c r="E18" s="93" t="s">
        <v>92</v>
      </c>
    </row>
    <row r="19" spans="3:7" x14ac:dyDescent="0.25">
      <c r="C19" s="92"/>
    </row>
    <row r="20" spans="3:7" ht="28.5" x14ac:dyDescent="0.25">
      <c r="C20" s="92" t="s">
        <v>60</v>
      </c>
      <c r="D20" s="90" t="s">
        <v>93</v>
      </c>
      <c r="E20" s="93" t="s">
        <v>94</v>
      </c>
    </row>
    <row r="21" spans="3:7" x14ac:dyDescent="0.25">
      <c r="C21" s="92"/>
    </row>
    <row r="22" spans="3:7" x14ac:dyDescent="0.25">
      <c r="C22" s="92" t="s">
        <v>61</v>
      </c>
      <c r="D22" s="90" t="s">
        <v>95</v>
      </c>
      <c r="E22" s="93" t="s">
        <v>96</v>
      </c>
    </row>
    <row r="23" spans="3:7" x14ac:dyDescent="0.25">
      <c r="C23" s="92"/>
    </row>
    <row r="24" spans="3:7" x14ac:dyDescent="0.25">
      <c r="C24" s="92" t="s">
        <v>62</v>
      </c>
      <c r="D24" s="90" t="s">
        <v>97</v>
      </c>
      <c r="E24" s="93" t="s">
        <v>98</v>
      </c>
    </row>
    <row r="25" spans="3:7" x14ac:dyDescent="0.25">
      <c r="C25" s="92"/>
    </row>
    <row r="26" spans="3:7" ht="71.25" x14ac:dyDescent="0.25">
      <c r="C26" s="92" t="s">
        <v>99</v>
      </c>
      <c r="D26" s="90" t="s">
        <v>100</v>
      </c>
    </row>
    <row r="27" spans="3:7" x14ac:dyDescent="0.25">
      <c r="C27" s="92"/>
    </row>
    <row r="28" spans="3:7" x14ac:dyDescent="0.25">
      <c r="C28" s="92" t="s">
        <v>63</v>
      </c>
      <c r="D28" s="90" t="s">
        <v>101</v>
      </c>
    </row>
    <row r="29" spans="3:7" x14ac:dyDescent="0.25">
      <c r="F29" s="113"/>
    </row>
    <row r="30" spans="3:7" x14ac:dyDescent="0.25">
      <c r="G30" s="113"/>
    </row>
  </sheetData>
  <hyperlinks>
    <hyperlink ref="E22" r:id="rId1"/>
    <hyperlink ref="E20" r:id="rId2"/>
    <hyperlink ref="E16" r:id="rId3"/>
    <hyperlink ref="E14" r:id="rId4"/>
    <hyperlink ref="E24" r:id="rId5"/>
    <hyperlink ref="E18" r:id="rId6"/>
  </hyperlinks>
  <pageMargins left="0.25" right="0.25" top="0.75" bottom="0.75" header="0.3" footer="0.3"/>
  <pageSetup scale="63" orientation="portrait" r:id="rId7"/>
  <headerFooter alignWithMargins="0"/>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RowHeight="12.75" x14ac:dyDescent="0.2"/>
  <sheetData>
    <row r="1" spans="1:8" x14ac:dyDescent="0.2">
      <c r="A1" s="114" t="s">
        <v>534</v>
      </c>
      <c r="B1" s="114" t="s">
        <v>5</v>
      </c>
    </row>
    <row r="2" spans="1:8" x14ac:dyDescent="0.2">
      <c r="A2" s="114" t="s">
        <v>5</v>
      </c>
      <c r="E2" s="114" t="s">
        <v>4</v>
      </c>
      <c r="F2" s="114" t="s">
        <v>109</v>
      </c>
      <c r="G2" s="114" t="s">
        <v>110</v>
      </c>
      <c r="H2" s="114" t="s">
        <v>111</v>
      </c>
    </row>
    <row r="3" spans="1:8" x14ac:dyDescent="0.2">
      <c r="A3" s="114" t="s">
        <v>5</v>
      </c>
      <c r="F3" s="114" t="s">
        <v>112</v>
      </c>
      <c r="G3" s="114" t="s">
        <v>113</v>
      </c>
      <c r="H3" s="114" t="s">
        <v>114</v>
      </c>
    </row>
    <row r="4" spans="1:8" x14ac:dyDescent="0.2">
      <c r="A4" s="114" t="s">
        <v>5</v>
      </c>
      <c r="E4" s="114" t="s">
        <v>3</v>
      </c>
      <c r="F4" s="114" t="s">
        <v>115</v>
      </c>
    </row>
    <row r="5" spans="1:8" x14ac:dyDescent="0.2">
      <c r="A5" s="114" t="s">
        <v>5</v>
      </c>
      <c r="B5" s="114" t="s">
        <v>78</v>
      </c>
    </row>
    <row r="6" spans="1:8" x14ac:dyDescent="0.2">
      <c r="A6" s="114" t="s">
        <v>5</v>
      </c>
    </row>
    <row r="9" spans="1:8" x14ac:dyDescent="0.2">
      <c r="E9" s="114" t="s">
        <v>116</v>
      </c>
    </row>
    <row r="10" spans="1:8" x14ac:dyDescent="0.2">
      <c r="E10" s="114" t="s">
        <v>117</v>
      </c>
    </row>
    <row r="12" spans="1:8" x14ac:dyDescent="0.2">
      <c r="E12" s="114" t="s">
        <v>6</v>
      </c>
    </row>
    <row r="14" spans="1:8" x14ac:dyDescent="0.2">
      <c r="F14" s="114" t="s">
        <v>118</v>
      </c>
      <c r="G14" s="114" t="s">
        <v>119</v>
      </c>
      <c r="H14" s="114" t="s">
        <v>120</v>
      </c>
    </row>
    <row r="15" spans="1:8" x14ac:dyDescent="0.2">
      <c r="B15" s="114" t="s">
        <v>76</v>
      </c>
      <c r="E15" s="114" t="s">
        <v>7</v>
      </c>
      <c r="F15" s="114" t="s">
        <v>104</v>
      </c>
      <c r="G15" s="114" t="s">
        <v>104</v>
      </c>
      <c r="H15" s="114" t="s">
        <v>104</v>
      </c>
    </row>
    <row r="16" spans="1:8" x14ac:dyDescent="0.2">
      <c r="B16" s="114" t="s">
        <v>121</v>
      </c>
      <c r="E16" s="114" t="s">
        <v>8</v>
      </c>
      <c r="F16" s="114" t="s">
        <v>104</v>
      </c>
      <c r="G16" s="114" t="s">
        <v>104</v>
      </c>
      <c r="H16" s="114" t="s">
        <v>104</v>
      </c>
    </row>
    <row r="17" spans="2:9" x14ac:dyDescent="0.2">
      <c r="B17" s="114" t="s">
        <v>122</v>
      </c>
      <c r="E17" s="114" t="s">
        <v>9</v>
      </c>
      <c r="F17" s="114" t="s">
        <v>104</v>
      </c>
      <c r="G17" s="114" t="s">
        <v>104</v>
      </c>
      <c r="H17" s="114" t="s">
        <v>104</v>
      </c>
    </row>
    <row r="18" spans="2:9" x14ac:dyDescent="0.2">
      <c r="B18" s="114" t="s">
        <v>123</v>
      </c>
      <c r="E18" s="114" t="s">
        <v>10</v>
      </c>
      <c r="F18" s="114" t="s">
        <v>104</v>
      </c>
      <c r="G18" s="114" t="s">
        <v>104</v>
      </c>
      <c r="H18" s="114" t="s">
        <v>104</v>
      </c>
    </row>
    <row r="19" spans="2:9" x14ac:dyDescent="0.2">
      <c r="B19" s="114" t="s">
        <v>77</v>
      </c>
      <c r="E19" s="114" t="s">
        <v>0</v>
      </c>
      <c r="F19" s="114" t="s">
        <v>104</v>
      </c>
      <c r="G19" s="114" t="s">
        <v>104</v>
      </c>
      <c r="H19" s="114" t="s">
        <v>104</v>
      </c>
    </row>
    <row r="20" spans="2:9" x14ac:dyDescent="0.2">
      <c r="E20" s="114" t="s">
        <v>1</v>
      </c>
      <c r="F20" s="114" t="s">
        <v>124</v>
      </c>
      <c r="G20" s="114" t="s">
        <v>125</v>
      </c>
      <c r="H20" s="114" t="s">
        <v>126</v>
      </c>
      <c r="I20" s="114" t="s">
        <v>127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heetViews>
  <sheetFormatPr defaultRowHeight="12.75" x14ac:dyDescent="0.2"/>
  <sheetData>
    <row r="1" spans="1:20" x14ac:dyDescent="0.2">
      <c r="A1" s="114" t="s">
        <v>535</v>
      </c>
      <c r="C1" s="114" t="s">
        <v>5</v>
      </c>
    </row>
    <row r="2" spans="1:20" x14ac:dyDescent="0.2">
      <c r="A2" s="114" t="s">
        <v>5</v>
      </c>
      <c r="D2" s="114" t="s">
        <v>4</v>
      </c>
      <c r="E2" s="114" t="s">
        <v>128</v>
      </c>
      <c r="F2" s="114" t="s">
        <v>109</v>
      </c>
      <c r="G2" s="114" t="s">
        <v>111</v>
      </c>
      <c r="H2" s="114" t="s">
        <v>129</v>
      </c>
      <c r="J2" s="114" t="s">
        <v>130</v>
      </c>
      <c r="M2" s="114" t="s">
        <v>131</v>
      </c>
      <c r="Q2" s="114" t="s">
        <v>132</v>
      </c>
      <c r="R2" s="114" t="s">
        <v>133</v>
      </c>
      <c r="S2" s="114" t="s">
        <v>134</v>
      </c>
      <c r="T2" s="114" t="s">
        <v>135</v>
      </c>
    </row>
    <row r="3" spans="1:20" x14ac:dyDescent="0.2">
      <c r="A3" s="114" t="s">
        <v>5</v>
      </c>
      <c r="E3" s="114" t="s">
        <v>136</v>
      </c>
      <c r="F3" s="114" t="s">
        <v>112</v>
      </c>
      <c r="G3" s="114" t="s">
        <v>113</v>
      </c>
      <c r="J3" s="114" t="s">
        <v>119</v>
      </c>
      <c r="M3" s="114" t="s">
        <v>119</v>
      </c>
      <c r="O3" s="114" t="s">
        <v>137</v>
      </c>
      <c r="P3" s="114" t="s">
        <v>138</v>
      </c>
      <c r="Q3" s="114" t="s">
        <v>139</v>
      </c>
      <c r="R3" s="114" t="s">
        <v>140</v>
      </c>
      <c r="S3" s="114" t="s">
        <v>141</v>
      </c>
      <c r="T3" s="114" t="s">
        <v>119</v>
      </c>
    </row>
    <row r="4" spans="1:20" x14ac:dyDescent="0.2">
      <c r="A4" s="114" t="s">
        <v>5</v>
      </c>
      <c r="D4" s="114" t="s">
        <v>3</v>
      </c>
      <c r="E4" s="114" t="s">
        <v>115</v>
      </c>
    </row>
    <row r="5" spans="1:20" x14ac:dyDescent="0.2">
      <c r="A5" s="114" t="s">
        <v>5</v>
      </c>
      <c r="C5" s="114" t="s">
        <v>72</v>
      </c>
    </row>
    <row r="6" spans="1:20" x14ac:dyDescent="0.2">
      <c r="A6" s="114" t="s">
        <v>5</v>
      </c>
    </row>
    <row r="7" spans="1:20" x14ac:dyDescent="0.2">
      <c r="D7" s="114" t="s">
        <v>11</v>
      </c>
    </row>
    <row r="8" spans="1:20" x14ac:dyDescent="0.2">
      <c r="D8" s="114" t="s">
        <v>116</v>
      </c>
    </row>
    <row r="9" spans="1:20" x14ac:dyDescent="0.2">
      <c r="D9" s="114" t="s">
        <v>142</v>
      </c>
    </row>
    <row r="11" spans="1:20" x14ac:dyDescent="0.2">
      <c r="E11" s="114" t="s">
        <v>6</v>
      </c>
      <c r="I11" s="114" t="s">
        <v>143</v>
      </c>
      <c r="M11" s="114" t="s">
        <v>144</v>
      </c>
      <c r="Q11" s="114" t="s">
        <v>29</v>
      </c>
    </row>
    <row r="13" spans="1:20" x14ac:dyDescent="0.2">
      <c r="E13" s="114" t="s">
        <v>145</v>
      </c>
      <c r="F13" s="114" t="s">
        <v>118</v>
      </c>
      <c r="G13" s="114" t="s">
        <v>119</v>
      </c>
      <c r="I13" s="114" t="s">
        <v>26</v>
      </c>
      <c r="J13" s="114" t="s">
        <v>27</v>
      </c>
      <c r="K13" s="114" t="s">
        <v>28</v>
      </c>
      <c r="M13" s="114" t="s">
        <v>26</v>
      </c>
      <c r="N13" s="114" t="s">
        <v>27</v>
      </c>
      <c r="O13" s="114" t="s">
        <v>28</v>
      </c>
      <c r="Q13" s="114" t="s">
        <v>146</v>
      </c>
      <c r="R13" s="114" t="s">
        <v>147</v>
      </c>
      <c r="S13" s="114" t="s">
        <v>148</v>
      </c>
      <c r="T13" s="114" t="s">
        <v>149</v>
      </c>
    </row>
    <row r="14" spans="1:20" x14ac:dyDescent="0.2">
      <c r="D14" s="114" t="s">
        <v>2</v>
      </c>
    </row>
    <row r="15" spans="1:20" x14ac:dyDescent="0.2">
      <c r="C15" s="114" t="s">
        <v>150</v>
      </c>
      <c r="D15" s="114" t="s">
        <v>355</v>
      </c>
      <c r="E15" s="114" t="s">
        <v>356</v>
      </c>
      <c r="F15" s="114" t="s">
        <v>357</v>
      </c>
      <c r="G15" s="114" t="s">
        <v>358</v>
      </c>
      <c r="I15" s="114" t="s">
        <v>151</v>
      </c>
      <c r="J15" s="114" t="s">
        <v>359</v>
      </c>
      <c r="K15" s="114" t="s">
        <v>152</v>
      </c>
      <c r="M15" s="114" t="s">
        <v>360</v>
      </c>
      <c r="N15" s="114" t="s">
        <v>153</v>
      </c>
      <c r="O15" s="114" t="s">
        <v>154</v>
      </c>
      <c r="Q15" s="114" t="s">
        <v>361</v>
      </c>
      <c r="R15" s="114" t="s">
        <v>362</v>
      </c>
      <c r="S15" s="114" t="s">
        <v>363</v>
      </c>
      <c r="T15" s="114" t="s">
        <v>364</v>
      </c>
    </row>
    <row r="16" spans="1:20" x14ac:dyDescent="0.2">
      <c r="C16" s="114" t="s">
        <v>155</v>
      </c>
      <c r="D16" s="114" t="s">
        <v>365</v>
      </c>
      <c r="E16" s="114" t="s">
        <v>366</v>
      </c>
      <c r="F16" s="114" t="s">
        <v>367</v>
      </c>
      <c r="G16" s="114" t="s">
        <v>368</v>
      </c>
      <c r="I16" s="114" t="s">
        <v>156</v>
      </c>
      <c r="J16" s="114" t="s">
        <v>369</v>
      </c>
      <c r="K16" s="114" t="s">
        <v>157</v>
      </c>
      <c r="M16" s="114" t="s">
        <v>158</v>
      </c>
      <c r="N16" s="114" t="s">
        <v>159</v>
      </c>
      <c r="O16" s="114" t="s">
        <v>160</v>
      </c>
      <c r="Q16" s="114" t="s">
        <v>370</v>
      </c>
      <c r="R16" s="114" t="s">
        <v>371</v>
      </c>
      <c r="S16" s="114" t="s">
        <v>372</v>
      </c>
      <c r="T16" s="114" t="s">
        <v>373</v>
      </c>
    </row>
    <row r="17" spans="3:20" x14ac:dyDescent="0.2">
      <c r="C17" s="114" t="s">
        <v>161</v>
      </c>
      <c r="D17" s="114" t="s">
        <v>374</v>
      </c>
      <c r="E17" s="114" t="s">
        <v>375</v>
      </c>
      <c r="F17" s="114" t="s">
        <v>376</v>
      </c>
      <c r="G17" s="114" t="s">
        <v>377</v>
      </c>
      <c r="I17" s="114" t="s">
        <v>162</v>
      </c>
      <c r="J17" s="114" t="s">
        <v>378</v>
      </c>
      <c r="K17" s="114" t="s">
        <v>163</v>
      </c>
      <c r="M17" s="114" t="s">
        <v>164</v>
      </c>
      <c r="N17" s="114" t="s">
        <v>165</v>
      </c>
      <c r="O17" s="114" t="s">
        <v>166</v>
      </c>
      <c r="Q17" s="114" t="s">
        <v>379</v>
      </c>
      <c r="R17" s="114" t="s">
        <v>380</v>
      </c>
      <c r="S17" s="114" t="s">
        <v>381</v>
      </c>
      <c r="T17" s="114" t="s">
        <v>382</v>
      </c>
    </row>
    <row r="18" spans="3:20" x14ac:dyDescent="0.2">
      <c r="C18" s="114" t="s">
        <v>167</v>
      </c>
      <c r="D18" s="114" t="s">
        <v>383</v>
      </c>
      <c r="E18" s="114" t="s">
        <v>384</v>
      </c>
      <c r="F18" s="114" t="s">
        <v>385</v>
      </c>
      <c r="G18" s="114" t="s">
        <v>386</v>
      </c>
      <c r="I18" s="114" t="s">
        <v>168</v>
      </c>
      <c r="J18" s="114" t="s">
        <v>387</v>
      </c>
      <c r="K18" s="114" t="s">
        <v>169</v>
      </c>
      <c r="M18" s="114" t="s">
        <v>170</v>
      </c>
      <c r="N18" s="114" t="s">
        <v>171</v>
      </c>
      <c r="O18" s="114" t="s">
        <v>172</v>
      </c>
      <c r="Q18" s="114" t="s">
        <v>388</v>
      </c>
      <c r="R18" s="114" t="s">
        <v>389</v>
      </c>
      <c r="S18" s="114" t="s">
        <v>390</v>
      </c>
      <c r="T18" s="114" t="s">
        <v>391</v>
      </c>
    </row>
    <row r="19" spans="3:20" x14ac:dyDescent="0.2">
      <c r="D19" s="114" t="s">
        <v>1</v>
      </c>
      <c r="E19" s="114" t="s">
        <v>173</v>
      </c>
      <c r="F19" s="114" t="s">
        <v>174</v>
      </c>
      <c r="G19" s="114" t="s">
        <v>175</v>
      </c>
      <c r="I19" s="114" t="s">
        <v>176</v>
      </c>
      <c r="J19" s="114" t="s">
        <v>177</v>
      </c>
      <c r="K19" s="114" t="s">
        <v>178</v>
      </c>
      <c r="M19" s="114" t="s">
        <v>179</v>
      </c>
      <c r="N19" s="114" t="s">
        <v>180</v>
      </c>
      <c r="O19" s="114" t="s">
        <v>181</v>
      </c>
      <c r="Q19" s="114" t="s">
        <v>182</v>
      </c>
      <c r="R19" s="114" t="s">
        <v>183</v>
      </c>
      <c r="S19" s="114" t="s">
        <v>184</v>
      </c>
      <c r="T19" s="114" t="s">
        <v>185</v>
      </c>
    </row>
    <row r="21" spans="3:20" x14ac:dyDescent="0.2">
      <c r="D21" s="114" t="s">
        <v>12</v>
      </c>
    </row>
    <row r="22" spans="3:20" x14ac:dyDescent="0.2">
      <c r="C22" s="114" t="s">
        <v>64</v>
      </c>
      <c r="D22" s="114" t="s">
        <v>392</v>
      </c>
      <c r="E22" s="114" t="s">
        <v>393</v>
      </c>
      <c r="F22" s="114" t="s">
        <v>394</v>
      </c>
      <c r="G22" s="114" t="s">
        <v>395</v>
      </c>
      <c r="I22" s="114" t="s">
        <v>186</v>
      </c>
      <c r="J22" s="114" t="s">
        <v>396</v>
      </c>
      <c r="K22" s="114" t="s">
        <v>187</v>
      </c>
      <c r="M22" s="114" t="s">
        <v>188</v>
      </c>
      <c r="N22" s="114" t="s">
        <v>189</v>
      </c>
      <c r="O22" s="114" t="s">
        <v>190</v>
      </c>
      <c r="Q22" s="114" t="s">
        <v>397</v>
      </c>
      <c r="R22" s="114" t="s">
        <v>398</v>
      </c>
      <c r="S22" s="114" t="s">
        <v>399</v>
      </c>
      <c r="T22" s="114" t="s">
        <v>400</v>
      </c>
    </row>
    <row r="23" spans="3:20" x14ac:dyDescent="0.2">
      <c r="C23" s="114" t="s">
        <v>191</v>
      </c>
      <c r="D23" s="114" t="s">
        <v>401</v>
      </c>
      <c r="E23" s="114" t="s">
        <v>402</v>
      </c>
      <c r="F23" s="114" t="s">
        <v>403</v>
      </c>
      <c r="G23" s="114" t="s">
        <v>404</v>
      </c>
      <c r="I23" s="114" t="s">
        <v>192</v>
      </c>
      <c r="J23" s="114" t="s">
        <v>405</v>
      </c>
      <c r="K23" s="114" t="s">
        <v>193</v>
      </c>
      <c r="M23" s="114" t="s">
        <v>194</v>
      </c>
      <c r="N23" s="114" t="s">
        <v>195</v>
      </c>
      <c r="O23" s="114" t="s">
        <v>196</v>
      </c>
      <c r="Q23" s="114" t="s">
        <v>406</v>
      </c>
      <c r="R23" s="114" t="s">
        <v>407</v>
      </c>
      <c r="S23" s="114" t="s">
        <v>408</v>
      </c>
      <c r="T23" s="114" t="s">
        <v>409</v>
      </c>
    </row>
    <row r="24" spans="3:20" x14ac:dyDescent="0.2">
      <c r="C24" s="114" t="s">
        <v>197</v>
      </c>
      <c r="D24" s="114" t="s">
        <v>410</v>
      </c>
      <c r="E24" s="114" t="s">
        <v>411</v>
      </c>
      <c r="F24" s="114" t="s">
        <v>412</v>
      </c>
      <c r="G24" s="114" t="s">
        <v>413</v>
      </c>
      <c r="I24" s="114" t="s">
        <v>198</v>
      </c>
      <c r="J24" s="114" t="s">
        <v>414</v>
      </c>
      <c r="K24" s="114" t="s">
        <v>199</v>
      </c>
      <c r="M24" s="114" t="s">
        <v>200</v>
      </c>
      <c r="N24" s="114" t="s">
        <v>201</v>
      </c>
      <c r="O24" s="114" t="s">
        <v>202</v>
      </c>
      <c r="Q24" s="114" t="s">
        <v>415</v>
      </c>
      <c r="R24" s="114" t="s">
        <v>416</v>
      </c>
      <c r="S24" s="114" t="s">
        <v>417</v>
      </c>
      <c r="T24" s="114" t="s">
        <v>418</v>
      </c>
    </row>
    <row r="25" spans="3:20" x14ac:dyDescent="0.2">
      <c r="C25" s="114" t="s">
        <v>203</v>
      </c>
      <c r="D25" s="114" t="s">
        <v>419</v>
      </c>
      <c r="E25" s="114" t="s">
        <v>420</v>
      </c>
      <c r="F25" s="114" t="s">
        <v>421</v>
      </c>
      <c r="G25" s="114" t="s">
        <v>422</v>
      </c>
      <c r="I25" s="114" t="s">
        <v>204</v>
      </c>
      <c r="J25" s="114" t="s">
        <v>423</v>
      </c>
      <c r="K25" s="114" t="s">
        <v>205</v>
      </c>
      <c r="M25" s="114" t="s">
        <v>206</v>
      </c>
      <c r="N25" s="114" t="s">
        <v>207</v>
      </c>
      <c r="O25" s="114" t="s">
        <v>208</v>
      </c>
      <c r="Q25" s="114" t="s">
        <v>424</v>
      </c>
      <c r="R25" s="114" t="s">
        <v>425</v>
      </c>
      <c r="S25" s="114" t="s">
        <v>426</v>
      </c>
      <c r="T25" s="114" t="s">
        <v>427</v>
      </c>
    </row>
    <row r="26" spans="3:20" x14ac:dyDescent="0.2">
      <c r="C26" s="114" t="s">
        <v>209</v>
      </c>
      <c r="D26" s="114" t="s">
        <v>428</v>
      </c>
      <c r="E26" s="114" t="s">
        <v>429</v>
      </c>
      <c r="F26" s="114" t="s">
        <v>430</v>
      </c>
      <c r="G26" s="114" t="s">
        <v>431</v>
      </c>
      <c r="I26" s="114" t="s">
        <v>210</v>
      </c>
      <c r="J26" s="114" t="s">
        <v>432</v>
      </c>
      <c r="K26" s="114" t="s">
        <v>211</v>
      </c>
      <c r="M26" s="114" t="s">
        <v>212</v>
      </c>
      <c r="N26" s="114" t="s">
        <v>213</v>
      </c>
      <c r="O26" s="114" t="s">
        <v>214</v>
      </c>
      <c r="Q26" s="114" t="s">
        <v>433</v>
      </c>
      <c r="R26" s="114" t="s">
        <v>434</v>
      </c>
      <c r="S26" s="114" t="s">
        <v>435</v>
      </c>
      <c r="T26" s="114" t="s">
        <v>436</v>
      </c>
    </row>
    <row r="27" spans="3:20" x14ac:dyDescent="0.2">
      <c r="C27" s="114" t="s">
        <v>215</v>
      </c>
      <c r="D27" s="114" t="s">
        <v>437</v>
      </c>
    </row>
    <row r="28" spans="3:20" x14ac:dyDescent="0.2">
      <c r="C28" s="114" t="s">
        <v>216</v>
      </c>
      <c r="D28" s="114" t="s">
        <v>438</v>
      </c>
    </row>
    <row r="29" spans="3:20" x14ac:dyDescent="0.2">
      <c r="C29" s="114" t="s">
        <v>217</v>
      </c>
      <c r="D29" s="114" t="s">
        <v>439</v>
      </c>
    </row>
    <row r="30" spans="3:20" x14ac:dyDescent="0.2">
      <c r="D30" s="114" t="s">
        <v>13</v>
      </c>
      <c r="E30" s="114" t="s">
        <v>218</v>
      </c>
      <c r="F30" s="114" t="s">
        <v>219</v>
      </c>
      <c r="G30" s="114" t="s">
        <v>220</v>
      </c>
      <c r="I30" s="114" t="s">
        <v>221</v>
      </c>
      <c r="J30" s="114" t="s">
        <v>222</v>
      </c>
      <c r="K30" s="114" t="s">
        <v>223</v>
      </c>
      <c r="M30" s="114" t="s">
        <v>224</v>
      </c>
      <c r="N30" s="114" t="s">
        <v>225</v>
      </c>
      <c r="O30" s="114" t="s">
        <v>226</v>
      </c>
      <c r="Q30" s="114" t="s">
        <v>227</v>
      </c>
      <c r="R30" s="114" t="s">
        <v>228</v>
      </c>
      <c r="S30" s="114" t="s">
        <v>229</v>
      </c>
      <c r="T30" s="114" t="s">
        <v>230</v>
      </c>
    </row>
    <row r="32" spans="3:20" x14ac:dyDescent="0.2">
      <c r="D32" s="114" t="s">
        <v>14</v>
      </c>
      <c r="E32" s="114" t="s">
        <v>231</v>
      </c>
      <c r="F32" s="114" t="s">
        <v>232</v>
      </c>
      <c r="G32" s="114" t="s">
        <v>233</v>
      </c>
      <c r="I32" s="114" t="s">
        <v>234</v>
      </c>
      <c r="J32" s="114" t="s">
        <v>235</v>
      </c>
      <c r="K32" s="114" t="s">
        <v>236</v>
      </c>
      <c r="M32" s="114" t="s">
        <v>237</v>
      </c>
      <c r="N32" s="114" t="s">
        <v>238</v>
      </c>
      <c r="O32" s="114" t="s">
        <v>239</v>
      </c>
      <c r="Q32" s="114" t="s">
        <v>240</v>
      </c>
      <c r="R32" s="114" t="s">
        <v>241</v>
      </c>
      <c r="S32" s="114" t="s">
        <v>242</v>
      </c>
      <c r="T32" s="114" t="s">
        <v>243</v>
      </c>
    </row>
    <row r="34" spans="3:20" x14ac:dyDescent="0.2">
      <c r="D34" s="114" t="s">
        <v>15</v>
      </c>
    </row>
    <row r="35" spans="3:20" x14ac:dyDescent="0.2">
      <c r="C35" s="114" t="s">
        <v>65</v>
      </c>
      <c r="D35" s="114" t="s">
        <v>16</v>
      </c>
      <c r="E35" s="114" t="s">
        <v>440</v>
      </c>
      <c r="F35" s="114" t="s">
        <v>441</v>
      </c>
      <c r="G35" s="114" t="s">
        <v>442</v>
      </c>
      <c r="I35" s="114" t="s">
        <v>244</v>
      </c>
      <c r="J35" s="114" t="s">
        <v>443</v>
      </c>
      <c r="K35" s="114" t="s">
        <v>245</v>
      </c>
      <c r="M35" s="114" t="s">
        <v>246</v>
      </c>
      <c r="N35" s="114" t="s">
        <v>247</v>
      </c>
      <c r="O35" s="114" t="s">
        <v>248</v>
      </c>
      <c r="Q35" s="114" t="s">
        <v>444</v>
      </c>
      <c r="R35" s="114" t="s">
        <v>445</v>
      </c>
      <c r="S35" s="114" t="s">
        <v>446</v>
      </c>
      <c r="T35" s="114" t="s">
        <v>447</v>
      </c>
    </row>
    <row r="36" spans="3:20" x14ac:dyDescent="0.2">
      <c r="C36" s="114" t="s">
        <v>66</v>
      </c>
      <c r="D36" s="114" t="s">
        <v>17</v>
      </c>
      <c r="E36" s="114" t="s">
        <v>448</v>
      </c>
      <c r="F36" s="114" t="s">
        <v>449</v>
      </c>
      <c r="G36" s="114" t="s">
        <v>450</v>
      </c>
      <c r="I36" s="114" t="s">
        <v>249</v>
      </c>
      <c r="J36" s="114" t="s">
        <v>451</v>
      </c>
      <c r="K36" s="114" t="s">
        <v>250</v>
      </c>
      <c r="M36" s="114" t="s">
        <v>251</v>
      </c>
      <c r="N36" s="114" t="s">
        <v>252</v>
      </c>
      <c r="O36" s="114" t="s">
        <v>253</v>
      </c>
      <c r="Q36" s="114" t="s">
        <v>452</v>
      </c>
      <c r="R36" s="114" t="s">
        <v>453</v>
      </c>
      <c r="S36" s="114" t="s">
        <v>454</v>
      </c>
      <c r="T36" s="114" t="s">
        <v>455</v>
      </c>
    </row>
    <row r="37" spans="3:20" x14ac:dyDescent="0.2">
      <c r="C37" s="114" t="s">
        <v>254</v>
      </c>
      <c r="D37" s="114" t="s">
        <v>18</v>
      </c>
      <c r="E37" s="114" t="s">
        <v>456</v>
      </c>
      <c r="F37" s="114" t="s">
        <v>457</v>
      </c>
      <c r="G37" s="114" t="s">
        <v>458</v>
      </c>
      <c r="I37" s="114" t="s">
        <v>255</v>
      </c>
      <c r="J37" s="114" t="s">
        <v>459</v>
      </c>
      <c r="K37" s="114" t="s">
        <v>256</v>
      </c>
      <c r="M37" s="114" t="s">
        <v>257</v>
      </c>
      <c r="N37" s="114" t="s">
        <v>258</v>
      </c>
      <c r="O37" s="114" t="s">
        <v>259</v>
      </c>
      <c r="Q37" s="114" t="s">
        <v>460</v>
      </c>
      <c r="R37" s="114" t="s">
        <v>461</v>
      </c>
      <c r="S37" s="114" t="s">
        <v>462</v>
      </c>
      <c r="T37" s="114" t="s">
        <v>463</v>
      </c>
    </row>
    <row r="38" spans="3:20" x14ac:dyDescent="0.2">
      <c r="C38" s="114" t="s">
        <v>67</v>
      </c>
      <c r="D38" s="114" t="s">
        <v>19</v>
      </c>
      <c r="E38" s="114" t="s">
        <v>464</v>
      </c>
      <c r="F38" s="114" t="s">
        <v>465</v>
      </c>
      <c r="G38" s="114" t="s">
        <v>466</v>
      </c>
      <c r="I38" s="114" t="s">
        <v>260</v>
      </c>
      <c r="J38" s="114" t="s">
        <v>467</v>
      </c>
      <c r="K38" s="114" t="s">
        <v>261</v>
      </c>
      <c r="M38" s="114" t="s">
        <v>262</v>
      </c>
      <c r="N38" s="114" t="s">
        <v>263</v>
      </c>
      <c r="O38" s="114" t="s">
        <v>264</v>
      </c>
      <c r="Q38" s="114" t="s">
        <v>468</v>
      </c>
      <c r="R38" s="114" t="s">
        <v>469</v>
      </c>
      <c r="S38" s="114" t="s">
        <v>470</v>
      </c>
      <c r="T38" s="114" t="s">
        <v>471</v>
      </c>
    </row>
    <row r="39" spans="3:20" x14ac:dyDescent="0.2">
      <c r="C39" s="114" t="s">
        <v>68</v>
      </c>
      <c r="D39" s="114" t="s">
        <v>20</v>
      </c>
      <c r="E39" s="114" t="s">
        <v>472</v>
      </c>
      <c r="F39" s="114" t="s">
        <v>473</v>
      </c>
      <c r="G39" s="114" t="s">
        <v>474</v>
      </c>
      <c r="I39" s="114" t="s">
        <v>265</v>
      </c>
      <c r="J39" s="114" t="s">
        <v>475</v>
      </c>
      <c r="K39" s="114" t="s">
        <v>266</v>
      </c>
      <c r="M39" s="114" t="s">
        <v>267</v>
      </c>
      <c r="N39" s="114" t="s">
        <v>268</v>
      </c>
      <c r="O39" s="114" t="s">
        <v>269</v>
      </c>
      <c r="Q39" s="114" t="s">
        <v>476</v>
      </c>
      <c r="R39" s="114" t="s">
        <v>477</v>
      </c>
      <c r="S39" s="114" t="s">
        <v>478</v>
      </c>
      <c r="T39" s="114" t="s">
        <v>479</v>
      </c>
    </row>
    <row r="40" spans="3:20" x14ac:dyDescent="0.2">
      <c r="C40" s="114" t="s">
        <v>69</v>
      </c>
      <c r="D40" s="114" t="s">
        <v>21</v>
      </c>
      <c r="E40" s="114" t="s">
        <v>480</v>
      </c>
      <c r="F40" s="114" t="s">
        <v>481</v>
      </c>
      <c r="G40" s="114" t="s">
        <v>482</v>
      </c>
      <c r="I40" s="114" t="s">
        <v>270</v>
      </c>
      <c r="J40" s="114" t="s">
        <v>483</v>
      </c>
      <c r="K40" s="114" t="s">
        <v>271</v>
      </c>
      <c r="M40" s="114" t="s">
        <v>272</v>
      </c>
      <c r="N40" s="114" t="s">
        <v>273</v>
      </c>
      <c r="O40" s="114" t="s">
        <v>274</v>
      </c>
      <c r="Q40" s="114" t="s">
        <v>484</v>
      </c>
      <c r="R40" s="114" t="s">
        <v>485</v>
      </c>
      <c r="S40" s="114" t="s">
        <v>486</v>
      </c>
      <c r="T40" s="114" t="s">
        <v>487</v>
      </c>
    </row>
    <row r="41" spans="3:20" x14ac:dyDescent="0.2">
      <c r="C41" s="114" t="s">
        <v>70</v>
      </c>
      <c r="D41" s="114" t="s">
        <v>22</v>
      </c>
      <c r="E41" s="114" t="s">
        <v>488</v>
      </c>
      <c r="F41" s="114" t="s">
        <v>489</v>
      </c>
      <c r="G41" s="114" t="s">
        <v>490</v>
      </c>
      <c r="I41" s="114" t="s">
        <v>275</v>
      </c>
      <c r="J41" s="114" t="s">
        <v>491</v>
      </c>
      <c r="K41" s="114" t="s">
        <v>276</v>
      </c>
      <c r="M41" s="114" t="s">
        <v>277</v>
      </c>
      <c r="N41" s="114" t="s">
        <v>278</v>
      </c>
      <c r="O41" s="114" t="s">
        <v>279</v>
      </c>
      <c r="Q41" s="114" t="s">
        <v>492</v>
      </c>
      <c r="R41" s="114" t="s">
        <v>493</v>
      </c>
      <c r="S41" s="114" t="s">
        <v>494</v>
      </c>
      <c r="T41" s="114" t="s">
        <v>495</v>
      </c>
    </row>
    <row r="42" spans="3:20" x14ac:dyDescent="0.2">
      <c r="C42" s="114" t="s">
        <v>71</v>
      </c>
      <c r="D42" s="114" t="s">
        <v>23</v>
      </c>
      <c r="E42" s="114" t="s">
        <v>496</v>
      </c>
      <c r="F42" s="114" t="s">
        <v>497</v>
      </c>
      <c r="G42" s="114" t="s">
        <v>498</v>
      </c>
      <c r="I42" s="114" t="s">
        <v>280</v>
      </c>
      <c r="J42" s="114" t="s">
        <v>499</v>
      </c>
      <c r="K42" s="114" t="s">
        <v>281</v>
      </c>
      <c r="M42" s="114" t="s">
        <v>282</v>
      </c>
      <c r="N42" s="114" t="s">
        <v>283</v>
      </c>
      <c r="O42" s="114" t="s">
        <v>284</v>
      </c>
      <c r="Q42" s="114" t="s">
        <v>500</v>
      </c>
      <c r="R42" s="114" t="s">
        <v>501</v>
      </c>
      <c r="S42" s="114" t="s">
        <v>502</v>
      </c>
      <c r="T42" s="114" t="s">
        <v>503</v>
      </c>
    </row>
    <row r="43" spans="3:20" x14ac:dyDescent="0.2">
      <c r="E43" s="114" t="s">
        <v>285</v>
      </c>
      <c r="F43" s="114" t="s">
        <v>286</v>
      </c>
      <c r="G43" s="114" t="s">
        <v>287</v>
      </c>
      <c r="I43" s="114" t="s">
        <v>288</v>
      </c>
      <c r="J43" s="114" t="s">
        <v>289</v>
      </c>
      <c r="K43" s="114" t="s">
        <v>290</v>
      </c>
      <c r="M43" s="114" t="s">
        <v>291</v>
      </c>
      <c r="N43" s="114" t="s">
        <v>292</v>
      </c>
      <c r="O43" s="114" t="s">
        <v>293</v>
      </c>
      <c r="Q43" s="114" t="s">
        <v>294</v>
      </c>
      <c r="R43" s="114" t="s">
        <v>295</v>
      </c>
      <c r="S43" s="114" t="s">
        <v>296</v>
      </c>
      <c r="T43" s="114" t="s">
        <v>297</v>
      </c>
    </row>
    <row r="44" spans="3:20" x14ac:dyDescent="0.2">
      <c r="D44" s="114" t="s">
        <v>24</v>
      </c>
      <c r="E44" s="114" t="s">
        <v>298</v>
      </c>
      <c r="F44" s="114" t="s">
        <v>299</v>
      </c>
      <c r="G44" s="114" t="s">
        <v>300</v>
      </c>
      <c r="I44" s="114" t="s">
        <v>301</v>
      </c>
      <c r="J44" s="114" t="s">
        <v>302</v>
      </c>
      <c r="K44" s="114" t="s">
        <v>303</v>
      </c>
      <c r="M44" s="114" t="s">
        <v>304</v>
      </c>
      <c r="N44" s="114" t="s">
        <v>305</v>
      </c>
      <c r="O44" s="114" t="s">
        <v>306</v>
      </c>
      <c r="Q44" s="114" t="s">
        <v>307</v>
      </c>
      <c r="R44" s="114" t="s">
        <v>308</v>
      </c>
      <c r="S44" s="114" t="s">
        <v>309</v>
      </c>
      <c r="T44" s="114" t="s">
        <v>310</v>
      </c>
    </row>
    <row r="45" spans="3:20" x14ac:dyDescent="0.2">
      <c r="D45" s="114" t="s">
        <v>25</v>
      </c>
      <c r="E45" s="114" t="s">
        <v>311</v>
      </c>
      <c r="F45" s="114" t="s">
        <v>312</v>
      </c>
      <c r="G45" s="114" t="s">
        <v>313</v>
      </c>
      <c r="I45" s="114" t="s">
        <v>314</v>
      </c>
      <c r="J45" s="114" t="s">
        <v>315</v>
      </c>
      <c r="M45" s="114" t="s">
        <v>316</v>
      </c>
      <c r="N45" s="114" t="s">
        <v>317</v>
      </c>
      <c r="Q45" s="114" t="s">
        <v>318</v>
      </c>
      <c r="R45" s="114" t="s">
        <v>319</v>
      </c>
      <c r="S45" s="114" t="s">
        <v>320</v>
      </c>
      <c r="T45" s="114" t="s">
        <v>321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heetViews>
  <sheetFormatPr defaultRowHeight="12.75" x14ac:dyDescent="0.2"/>
  <sheetData>
    <row r="1" spans="1:20" x14ac:dyDescent="0.2">
      <c r="A1" s="114" t="s">
        <v>535</v>
      </c>
      <c r="C1" s="114" t="s">
        <v>5</v>
      </c>
    </row>
    <row r="2" spans="1:20" x14ac:dyDescent="0.2">
      <c r="A2" s="114" t="s">
        <v>5</v>
      </c>
      <c r="D2" s="114" t="s">
        <v>4</v>
      </c>
      <c r="E2" s="114" t="s">
        <v>128</v>
      </c>
      <c r="F2" s="114" t="s">
        <v>109</v>
      </c>
      <c r="G2" s="114" t="s">
        <v>111</v>
      </c>
      <c r="H2" s="114" t="s">
        <v>129</v>
      </c>
      <c r="J2" s="114" t="s">
        <v>130</v>
      </c>
      <c r="M2" s="114" t="s">
        <v>131</v>
      </c>
      <c r="Q2" s="114" t="s">
        <v>132</v>
      </c>
      <c r="R2" s="114" t="s">
        <v>133</v>
      </c>
      <c r="S2" s="114" t="s">
        <v>134</v>
      </c>
      <c r="T2" s="114" t="s">
        <v>135</v>
      </c>
    </row>
    <row r="3" spans="1:20" x14ac:dyDescent="0.2">
      <c r="A3" s="114" t="s">
        <v>5</v>
      </c>
      <c r="E3" s="114" t="s">
        <v>136</v>
      </c>
      <c r="F3" s="114" t="s">
        <v>112</v>
      </c>
      <c r="G3" s="114" t="s">
        <v>113</v>
      </c>
      <c r="J3" s="114" t="s">
        <v>119</v>
      </c>
      <c r="M3" s="114" t="s">
        <v>119</v>
      </c>
      <c r="O3" s="114" t="s">
        <v>137</v>
      </c>
      <c r="P3" s="114" t="s">
        <v>138</v>
      </c>
      <c r="Q3" s="114" t="s">
        <v>139</v>
      </c>
      <c r="R3" s="114" t="s">
        <v>140</v>
      </c>
      <c r="S3" s="114" t="s">
        <v>141</v>
      </c>
      <c r="T3" s="114" t="s">
        <v>119</v>
      </c>
    </row>
    <row r="4" spans="1:20" x14ac:dyDescent="0.2">
      <c r="A4" s="114" t="s">
        <v>5</v>
      </c>
      <c r="D4" s="114" t="s">
        <v>3</v>
      </c>
      <c r="E4" s="114" t="s">
        <v>115</v>
      </c>
    </row>
    <row r="5" spans="1:20" x14ac:dyDescent="0.2">
      <c r="A5" s="114" t="s">
        <v>5</v>
      </c>
      <c r="C5" s="114" t="s">
        <v>72</v>
      </c>
    </row>
    <row r="6" spans="1:20" x14ac:dyDescent="0.2">
      <c r="A6" s="114" t="s">
        <v>5</v>
      </c>
    </row>
    <row r="7" spans="1:20" x14ac:dyDescent="0.2">
      <c r="D7" s="114" t="s">
        <v>11</v>
      </c>
    </row>
    <row r="8" spans="1:20" x14ac:dyDescent="0.2">
      <c r="D8" s="114" t="s">
        <v>116</v>
      </c>
    </row>
    <row r="9" spans="1:20" x14ac:dyDescent="0.2">
      <c r="D9" s="114" t="s">
        <v>142</v>
      </c>
    </row>
    <row r="11" spans="1:20" x14ac:dyDescent="0.2">
      <c r="E11" s="114" t="s">
        <v>6</v>
      </c>
      <c r="I11" s="114" t="s">
        <v>143</v>
      </c>
      <c r="M11" s="114" t="s">
        <v>144</v>
      </c>
      <c r="Q11" s="114" t="s">
        <v>29</v>
      </c>
    </row>
    <row r="13" spans="1:20" x14ac:dyDescent="0.2">
      <c r="E13" s="114" t="s">
        <v>145</v>
      </c>
      <c r="F13" s="114" t="s">
        <v>118</v>
      </c>
      <c r="G13" s="114" t="s">
        <v>119</v>
      </c>
      <c r="I13" s="114" t="s">
        <v>26</v>
      </c>
      <c r="J13" s="114" t="s">
        <v>27</v>
      </c>
      <c r="K13" s="114" t="s">
        <v>28</v>
      </c>
      <c r="M13" s="114" t="s">
        <v>26</v>
      </c>
      <c r="N13" s="114" t="s">
        <v>27</v>
      </c>
      <c r="O13" s="114" t="s">
        <v>28</v>
      </c>
      <c r="Q13" s="114" t="s">
        <v>146</v>
      </c>
      <c r="R13" s="114" t="s">
        <v>147</v>
      </c>
      <c r="S13" s="114" t="s">
        <v>148</v>
      </c>
      <c r="T13" s="114" t="s">
        <v>149</v>
      </c>
    </row>
    <row r="14" spans="1:20" x14ac:dyDescent="0.2">
      <c r="D14" s="114" t="s">
        <v>2</v>
      </c>
    </row>
    <row r="15" spans="1:20" x14ac:dyDescent="0.2">
      <c r="C15" s="114" t="s">
        <v>150</v>
      </c>
      <c r="D15" s="114" t="s">
        <v>104</v>
      </c>
      <c r="E15" s="114" t="s">
        <v>104</v>
      </c>
      <c r="F15" s="114" t="s">
        <v>104</v>
      </c>
      <c r="G15" s="114" t="s">
        <v>104</v>
      </c>
      <c r="I15" s="114" t="s">
        <v>151</v>
      </c>
      <c r="J15" s="114" t="s">
        <v>104</v>
      </c>
      <c r="K15" s="114" t="s">
        <v>152</v>
      </c>
      <c r="M15" s="114" t="s">
        <v>104</v>
      </c>
      <c r="N15" s="114" t="s">
        <v>104</v>
      </c>
      <c r="O15" s="114" t="s">
        <v>154</v>
      </c>
      <c r="Q15" s="114" t="s">
        <v>104</v>
      </c>
      <c r="R15" s="114" t="s">
        <v>104</v>
      </c>
      <c r="S15" s="114" t="s">
        <v>104</v>
      </c>
      <c r="T15" s="114" t="s">
        <v>104</v>
      </c>
    </row>
    <row r="16" spans="1:20" x14ac:dyDescent="0.2">
      <c r="C16" s="114" t="s">
        <v>155</v>
      </c>
      <c r="D16" s="114" t="s">
        <v>104</v>
      </c>
      <c r="E16" s="114" t="s">
        <v>104</v>
      </c>
      <c r="F16" s="114" t="s">
        <v>104</v>
      </c>
      <c r="G16" s="114" t="s">
        <v>104</v>
      </c>
      <c r="I16" s="114" t="s">
        <v>156</v>
      </c>
      <c r="J16" s="114" t="s">
        <v>104</v>
      </c>
      <c r="K16" s="114" t="s">
        <v>157</v>
      </c>
      <c r="M16" s="114" t="s">
        <v>104</v>
      </c>
      <c r="N16" s="114" t="s">
        <v>104</v>
      </c>
      <c r="O16" s="114" t="s">
        <v>160</v>
      </c>
      <c r="Q16" s="114" t="s">
        <v>104</v>
      </c>
      <c r="R16" s="114" t="s">
        <v>104</v>
      </c>
      <c r="S16" s="114" t="s">
        <v>104</v>
      </c>
      <c r="T16" s="114" t="s">
        <v>104</v>
      </c>
    </row>
    <row r="17" spans="3:20" x14ac:dyDescent="0.2">
      <c r="C17" s="114" t="s">
        <v>161</v>
      </c>
      <c r="D17" s="114" t="s">
        <v>104</v>
      </c>
      <c r="E17" s="114" t="s">
        <v>104</v>
      </c>
      <c r="F17" s="114" t="s">
        <v>104</v>
      </c>
      <c r="G17" s="114" t="s">
        <v>104</v>
      </c>
      <c r="I17" s="114" t="s">
        <v>162</v>
      </c>
      <c r="J17" s="114" t="s">
        <v>104</v>
      </c>
      <c r="K17" s="114" t="s">
        <v>163</v>
      </c>
      <c r="M17" s="114" t="s">
        <v>104</v>
      </c>
      <c r="N17" s="114" t="s">
        <v>104</v>
      </c>
      <c r="O17" s="114" t="s">
        <v>166</v>
      </c>
      <c r="Q17" s="114" t="s">
        <v>104</v>
      </c>
      <c r="R17" s="114" t="s">
        <v>104</v>
      </c>
      <c r="S17" s="114" t="s">
        <v>104</v>
      </c>
      <c r="T17" s="114" t="s">
        <v>104</v>
      </c>
    </row>
    <row r="18" spans="3:20" x14ac:dyDescent="0.2">
      <c r="C18" s="114" t="s">
        <v>167</v>
      </c>
      <c r="D18" s="114" t="s">
        <v>104</v>
      </c>
      <c r="E18" s="114" t="s">
        <v>104</v>
      </c>
      <c r="F18" s="114" t="s">
        <v>104</v>
      </c>
      <c r="G18" s="114" t="s">
        <v>104</v>
      </c>
      <c r="I18" s="114" t="s">
        <v>168</v>
      </c>
      <c r="J18" s="114" t="s">
        <v>104</v>
      </c>
      <c r="K18" s="114" t="s">
        <v>169</v>
      </c>
      <c r="M18" s="114" t="s">
        <v>104</v>
      </c>
      <c r="N18" s="114" t="s">
        <v>104</v>
      </c>
      <c r="O18" s="114" t="s">
        <v>172</v>
      </c>
      <c r="Q18" s="114" t="s">
        <v>104</v>
      </c>
      <c r="R18" s="114" t="s">
        <v>104</v>
      </c>
      <c r="S18" s="114" t="s">
        <v>104</v>
      </c>
      <c r="T18" s="114" t="s">
        <v>104</v>
      </c>
    </row>
    <row r="19" spans="3:20" x14ac:dyDescent="0.2">
      <c r="D19" s="114" t="s">
        <v>1</v>
      </c>
      <c r="E19" s="114" t="s">
        <v>173</v>
      </c>
      <c r="F19" s="114" t="s">
        <v>174</v>
      </c>
      <c r="G19" s="114" t="s">
        <v>175</v>
      </c>
      <c r="I19" s="114" t="s">
        <v>176</v>
      </c>
      <c r="J19" s="114" t="s">
        <v>177</v>
      </c>
      <c r="K19" s="114" t="s">
        <v>178</v>
      </c>
      <c r="M19" s="114" t="s">
        <v>179</v>
      </c>
      <c r="N19" s="114" t="s">
        <v>180</v>
      </c>
      <c r="O19" s="114" t="s">
        <v>181</v>
      </c>
      <c r="Q19" s="114" t="s">
        <v>182</v>
      </c>
      <c r="R19" s="114" t="s">
        <v>183</v>
      </c>
      <c r="S19" s="114" t="s">
        <v>184</v>
      </c>
      <c r="T19" s="114" t="s">
        <v>185</v>
      </c>
    </row>
    <row r="21" spans="3:20" x14ac:dyDescent="0.2">
      <c r="D21" s="114" t="s">
        <v>12</v>
      </c>
    </row>
    <row r="22" spans="3:20" x14ac:dyDescent="0.2">
      <c r="C22" s="114" t="s">
        <v>64</v>
      </c>
      <c r="D22" s="114" t="s">
        <v>104</v>
      </c>
      <c r="E22" s="114" t="s">
        <v>104</v>
      </c>
      <c r="F22" s="114" t="s">
        <v>104</v>
      </c>
      <c r="G22" s="114" t="s">
        <v>104</v>
      </c>
      <c r="I22" s="114" t="s">
        <v>186</v>
      </c>
      <c r="J22" s="114" t="s">
        <v>104</v>
      </c>
      <c r="K22" s="114" t="s">
        <v>187</v>
      </c>
      <c r="M22" s="114" t="s">
        <v>104</v>
      </c>
      <c r="N22" s="114" t="s">
        <v>104</v>
      </c>
      <c r="O22" s="114" t="s">
        <v>190</v>
      </c>
      <c r="Q22" s="114" t="s">
        <v>104</v>
      </c>
      <c r="R22" s="114" t="s">
        <v>104</v>
      </c>
      <c r="S22" s="114" t="s">
        <v>104</v>
      </c>
      <c r="T22" s="114" t="s">
        <v>104</v>
      </c>
    </row>
    <row r="23" spans="3:20" x14ac:dyDescent="0.2">
      <c r="C23" s="114" t="s">
        <v>191</v>
      </c>
      <c r="D23" s="114" t="s">
        <v>104</v>
      </c>
      <c r="E23" s="114" t="s">
        <v>104</v>
      </c>
      <c r="F23" s="114" t="s">
        <v>104</v>
      </c>
      <c r="G23" s="114" t="s">
        <v>104</v>
      </c>
      <c r="I23" s="114" t="s">
        <v>192</v>
      </c>
      <c r="J23" s="114" t="s">
        <v>104</v>
      </c>
      <c r="K23" s="114" t="s">
        <v>193</v>
      </c>
      <c r="M23" s="114" t="s">
        <v>104</v>
      </c>
      <c r="N23" s="114" t="s">
        <v>104</v>
      </c>
      <c r="O23" s="114" t="s">
        <v>196</v>
      </c>
      <c r="Q23" s="114" t="s">
        <v>104</v>
      </c>
      <c r="R23" s="114" t="s">
        <v>104</v>
      </c>
      <c r="S23" s="114" t="s">
        <v>104</v>
      </c>
      <c r="T23" s="114" t="s">
        <v>104</v>
      </c>
    </row>
    <row r="24" spans="3:20" x14ac:dyDescent="0.2">
      <c r="C24" s="114" t="s">
        <v>197</v>
      </c>
      <c r="D24" s="114" t="s">
        <v>104</v>
      </c>
      <c r="E24" s="114" t="s">
        <v>104</v>
      </c>
      <c r="F24" s="114" t="s">
        <v>104</v>
      </c>
      <c r="G24" s="114" t="s">
        <v>104</v>
      </c>
      <c r="I24" s="114" t="s">
        <v>198</v>
      </c>
      <c r="J24" s="114" t="s">
        <v>104</v>
      </c>
      <c r="K24" s="114" t="s">
        <v>199</v>
      </c>
      <c r="M24" s="114" t="s">
        <v>104</v>
      </c>
      <c r="N24" s="114" t="s">
        <v>104</v>
      </c>
      <c r="O24" s="114" t="s">
        <v>202</v>
      </c>
      <c r="Q24" s="114" t="s">
        <v>104</v>
      </c>
      <c r="R24" s="114" t="s">
        <v>104</v>
      </c>
      <c r="S24" s="114" t="s">
        <v>104</v>
      </c>
      <c r="T24" s="114" t="s">
        <v>104</v>
      </c>
    </row>
    <row r="25" spans="3:20" x14ac:dyDescent="0.2">
      <c r="C25" s="114" t="s">
        <v>203</v>
      </c>
      <c r="D25" s="114" t="s">
        <v>104</v>
      </c>
      <c r="E25" s="114" t="s">
        <v>104</v>
      </c>
      <c r="F25" s="114" t="s">
        <v>104</v>
      </c>
      <c r="G25" s="114" t="s">
        <v>104</v>
      </c>
      <c r="I25" s="114" t="s">
        <v>204</v>
      </c>
      <c r="J25" s="114" t="s">
        <v>104</v>
      </c>
      <c r="K25" s="114" t="s">
        <v>205</v>
      </c>
      <c r="M25" s="114" t="s">
        <v>104</v>
      </c>
      <c r="N25" s="114" t="s">
        <v>104</v>
      </c>
      <c r="O25" s="114" t="s">
        <v>208</v>
      </c>
      <c r="Q25" s="114" t="s">
        <v>104</v>
      </c>
      <c r="R25" s="114" t="s">
        <v>104</v>
      </c>
      <c r="S25" s="114" t="s">
        <v>104</v>
      </c>
      <c r="T25" s="114" t="s">
        <v>104</v>
      </c>
    </row>
    <row r="26" spans="3:20" x14ac:dyDescent="0.2">
      <c r="C26" s="114" t="s">
        <v>209</v>
      </c>
      <c r="D26" s="114" t="s">
        <v>104</v>
      </c>
      <c r="E26" s="114" t="s">
        <v>104</v>
      </c>
      <c r="F26" s="114" t="s">
        <v>104</v>
      </c>
      <c r="G26" s="114" t="s">
        <v>104</v>
      </c>
      <c r="I26" s="114" t="s">
        <v>210</v>
      </c>
      <c r="J26" s="114" t="s">
        <v>104</v>
      </c>
      <c r="K26" s="114" t="s">
        <v>211</v>
      </c>
      <c r="M26" s="114" t="s">
        <v>104</v>
      </c>
      <c r="N26" s="114" t="s">
        <v>104</v>
      </c>
      <c r="O26" s="114" t="s">
        <v>214</v>
      </c>
      <c r="Q26" s="114" t="s">
        <v>104</v>
      </c>
      <c r="R26" s="114" t="s">
        <v>104</v>
      </c>
      <c r="S26" s="114" t="s">
        <v>104</v>
      </c>
      <c r="T26" s="114" t="s">
        <v>104</v>
      </c>
    </row>
    <row r="27" spans="3:20" x14ac:dyDescent="0.2">
      <c r="C27" s="114" t="s">
        <v>215</v>
      </c>
      <c r="D27" s="114" t="s">
        <v>104</v>
      </c>
    </row>
    <row r="28" spans="3:20" x14ac:dyDescent="0.2">
      <c r="C28" s="114" t="s">
        <v>216</v>
      </c>
      <c r="D28" s="114" t="s">
        <v>104</v>
      </c>
    </row>
    <row r="29" spans="3:20" x14ac:dyDescent="0.2">
      <c r="C29" s="114" t="s">
        <v>217</v>
      </c>
      <c r="D29" s="114" t="s">
        <v>104</v>
      </c>
    </row>
    <row r="30" spans="3:20" x14ac:dyDescent="0.2">
      <c r="D30" s="114" t="s">
        <v>13</v>
      </c>
      <c r="E30" s="114" t="s">
        <v>218</v>
      </c>
      <c r="F30" s="114" t="s">
        <v>219</v>
      </c>
      <c r="G30" s="114" t="s">
        <v>220</v>
      </c>
      <c r="I30" s="114" t="s">
        <v>221</v>
      </c>
      <c r="J30" s="114" t="s">
        <v>222</v>
      </c>
      <c r="K30" s="114" t="s">
        <v>223</v>
      </c>
      <c r="M30" s="114" t="s">
        <v>224</v>
      </c>
      <c r="N30" s="114" t="s">
        <v>225</v>
      </c>
      <c r="O30" s="114" t="s">
        <v>226</v>
      </c>
      <c r="Q30" s="114" t="s">
        <v>227</v>
      </c>
      <c r="R30" s="114" t="s">
        <v>228</v>
      </c>
      <c r="S30" s="114" t="s">
        <v>229</v>
      </c>
      <c r="T30" s="114" t="s">
        <v>230</v>
      </c>
    </row>
    <row r="32" spans="3:20" x14ac:dyDescent="0.2">
      <c r="D32" s="114" t="s">
        <v>14</v>
      </c>
      <c r="E32" s="114" t="s">
        <v>231</v>
      </c>
      <c r="F32" s="114" t="s">
        <v>232</v>
      </c>
      <c r="G32" s="114" t="s">
        <v>233</v>
      </c>
      <c r="I32" s="114" t="s">
        <v>234</v>
      </c>
      <c r="J32" s="114" t="s">
        <v>235</v>
      </c>
      <c r="K32" s="114" t="s">
        <v>236</v>
      </c>
      <c r="M32" s="114" t="s">
        <v>237</v>
      </c>
      <c r="N32" s="114" t="s">
        <v>238</v>
      </c>
      <c r="O32" s="114" t="s">
        <v>239</v>
      </c>
      <c r="Q32" s="114" t="s">
        <v>240</v>
      </c>
      <c r="R32" s="114" t="s">
        <v>241</v>
      </c>
      <c r="S32" s="114" t="s">
        <v>242</v>
      </c>
      <c r="T32" s="114" t="s">
        <v>243</v>
      </c>
    </row>
    <row r="34" spans="3:20" x14ac:dyDescent="0.2">
      <c r="D34" s="114" t="s">
        <v>15</v>
      </c>
    </row>
    <row r="35" spans="3:20" x14ac:dyDescent="0.2">
      <c r="C35" s="114" t="s">
        <v>65</v>
      </c>
      <c r="D35" s="114" t="s">
        <v>16</v>
      </c>
      <c r="E35" s="114" t="s">
        <v>104</v>
      </c>
      <c r="F35" s="114" t="s">
        <v>104</v>
      </c>
      <c r="G35" s="114" t="s">
        <v>104</v>
      </c>
      <c r="I35" s="114" t="s">
        <v>244</v>
      </c>
      <c r="J35" s="114" t="s">
        <v>104</v>
      </c>
      <c r="K35" s="114" t="s">
        <v>245</v>
      </c>
      <c r="M35" s="114" t="s">
        <v>104</v>
      </c>
      <c r="N35" s="114" t="s">
        <v>104</v>
      </c>
      <c r="O35" s="114" t="s">
        <v>248</v>
      </c>
      <c r="Q35" s="114" t="s">
        <v>104</v>
      </c>
      <c r="R35" s="114" t="s">
        <v>104</v>
      </c>
      <c r="S35" s="114" t="s">
        <v>104</v>
      </c>
      <c r="T35" s="114" t="s">
        <v>104</v>
      </c>
    </row>
    <row r="36" spans="3:20" x14ac:dyDescent="0.2">
      <c r="C36" s="114" t="s">
        <v>66</v>
      </c>
      <c r="D36" s="114" t="s">
        <v>17</v>
      </c>
      <c r="E36" s="114" t="s">
        <v>104</v>
      </c>
      <c r="F36" s="114" t="s">
        <v>104</v>
      </c>
      <c r="G36" s="114" t="s">
        <v>104</v>
      </c>
      <c r="I36" s="114" t="s">
        <v>249</v>
      </c>
      <c r="J36" s="114" t="s">
        <v>104</v>
      </c>
      <c r="K36" s="114" t="s">
        <v>250</v>
      </c>
      <c r="M36" s="114" t="s">
        <v>104</v>
      </c>
      <c r="N36" s="114" t="s">
        <v>104</v>
      </c>
      <c r="O36" s="114" t="s">
        <v>253</v>
      </c>
      <c r="Q36" s="114" t="s">
        <v>104</v>
      </c>
      <c r="R36" s="114" t="s">
        <v>104</v>
      </c>
      <c r="S36" s="114" t="s">
        <v>104</v>
      </c>
      <c r="T36" s="114" t="s">
        <v>104</v>
      </c>
    </row>
    <row r="37" spans="3:20" x14ac:dyDescent="0.2">
      <c r="C37" s="114" t="s">
        <v>254</v>
      </c>
      <c r="D37" s="114" t="s">
        <v>18</v>
      </c>
      <c r="E37" s="114" t="s">
        <v>104</v>
      </c>
      <c r="F37" s="114" t="s">
        <v>104</v>
      </c>
      <c r="G37" s="114" t="s">
        <v>104</v>
      </c>
      <c r="I37" s="114" t="s">
        <v>255</v>
      </c>
      <c r="J37" s="114" t="s">
        <v>104</v>
      </c>
      <c r="K37" s="114" t="s">
        <v>256</v>
      </c>
      <c r="M37" s="114" t="s">
        <v>104</v>
      </c>
      <c r="N37" s="114" t="s">
        <v>104</v>
      </c>
      <c r="O37" s="114" t="s">
        <v>259</v>
      </c>
      <c r="Q37" s="114" t="s">
        <v>104</v>
      </c>
      <c r="R37" s="114" t="s">
        <v>104</v>
      </c>
      <c r="S37" s="114" t="s">
        <v>104</v>
      </c>
      <c r="T37" s="114" t="s">
        <v>104</v>
      </c>
    </row>
    <row r="38" spans="3:20" x14ac:dyDescent="0.2">
      <c r="C38" s="114" t="s">
        <v>67</v>
      </c>
      <c r="D38" s="114" t="s">
        <v>19</v>
      </c>
      <c r="E38" s="114" t="s">
        <v>104</v>
      </c>
      <c r="F38" s="114" t="s">
        <v>104</v>
      </c>
      <c r="G38" s="114" t="s">
        <v>104</v>
      </c>
      <c r="I38" s="114" t="s">
        <v>260</v>
      </c>
      <c r="J38" s="114" t="s">
        <v>104</v>
      </c>
      <c r="K38" s="114" t="s">
        <v>261</v>
      </c>
      <c r="M38" s="114" t="s">
        <v>104</v>
      </c>
      <c r="N38" s="114" t="s">
        <v>104</v>
      </c>
      <c r="O38" s="114" t="s">
        <v>264</v>
      </c>
      <c r="Q38" s="114" t="s">
        <v>104</v>
      </c>
      <c r="R38" s="114" t="s">
        <v>104</v>
      </c>
      <c r="S38" s="114" t="s">
        <v>104</v>
      </c>
      <c r="T38" s="114" t="s">
        <v>104</v>
      </c>
    </row>
    <row r="39" spans="3:20" x14ac:dyDescent="0.2">
      <c r="C39" s="114" t="s">
        <v>68</v>
      </c>
      <c r="D39" s="114" t="s">
        <v>20</v>
      </c>
      <c r="E39" s="114" t="s">
        <v>104</v>
      </c>
      <c r="F39" s="114" t="s">
        <v>104</v>
      </c>
      <c r="G39" s="114" t="s">
        <v>104</v>
      </c>
      <c r="I39" s="114" t="s">
        <v>265</v>
      </c>
      <c r="J39" s="114" t="s">
        <v>104</v>
      </c>
      <c r="K39" s="114" t="s">
        <v>266</v>
      </c>
      <c r="M39" s="114" t="s">
        <v>104</v>
      </c>
      <c r="N39" s="114" t="s">
        <v>104</v>
      </c>
      <c r="O39" s="114" t="s">
        <v>269</v>
      </c>
      <c r="Q39" s="114" t="s">
        <v>104</v>
      </c>
      <c r="R39" s="114" t="s">
        <v>104</v>
      </c>
      <c r="S39" s="114" t="s">
        <v>104</v>
      </c>
      <c r="T39" s="114" t="s">
        <v>104</v>
      </c>
    </row>
    <row r="40" spans="3:20" x14ac:dyDescent="0.2">
      <c r="C40" s="114" t="s">
        <v>69</v>
      </c>
      <c r="D40" s="114" t="s">
        <v>21</v>
      </c>
      <c r="E40" s="114" t="s">
        <v>104</v>
      </c>
      <c r="F40" s="114" t="s">
        <v>104</v>
      </c>
      <c r="G40" s="114" t="s">
        <v>104</v>
      </c>
      <c r="I40" s="114" t="s">
        <v>270</v>
      </c>
      <c r="J40" s="114" t="s">
        <v>104</v>
      </c>
      <c r="K40" s="114" t="s">
        <v>271</v>
      </c>
      <c r="M40" s="114" t="s">
        <v>104</v>
      </c>
      <c r="N40" s="114" t="s">
        <v>104</v>
      </c>
      <c r="O40" s="114" t="s">
        <v>274</v>
      </c>
      <c r="Q40" s="114" t="s">
        <v>104</v>
      </c>
      <c r="R40" s="114" t="s">
        <v>104</v>
      </c>
      <c r="S40" s="114" t="s">
        <v>104</v>
      </c>
      <c r="T40" s="114" t="s">
        <v>104</v>
      </c>
    </row>
    <row r="41" spans="3:20" x14ac:dyDescent="0.2">
      <c r="C41" s="114" t="s">
        <v>70</v>
      </c>
      <c r="D41" s="114" t="s">
        <v>22</v>
      </c>
      <c r="E41" s="114" t="s">
        <v>104</v>
      </c>
      <c r="F41" s="114" t="s">
        <v>104</v>
      </c>
      <c r="G41" s="114" t="s">
        <v>104</v>
      </c>
      <c r="I41" s="114" t="s">
        <v>275</v>
      </c>
      <c r="J41" s="114" t="s">
        <v>104</v>
      </c>
      <c r="K41" s="114" t="s">
        <v>276</v>
      </c>
      <c r="M41" s="114" t="s">
        <v>104</v>
      </c>
      <c r="N41" s="114" t="s">
        <v>104</v>
      </c>
      <c r="O41" s="114" t="s">
        <v>279</v>
      </c>
      <c r="Q41" s="114" t="s">
        <v>104</v>
      </c>
      <c r="R41" s="114" t="s">
        <v>104</v>
      </c>
      <c r="S41" s="114" t="s">
        <v>104</v>
      </c>
      <c r="T41" s="114" t="s">
        <v>104</v>
      </c>
    </row>
    <row r="42" spans="3:20" x14ac:dyDescent="0.2">
      <c r="C42" s="114" t="s">
        <v>71</v>
      </c>
      <c r="D42" s="114" t="s">
        <v>23</v>
      </c>
      <c r="E42" s="114" t="s">
        <v>104</v>
      </c>
      <c r="F42" s="114" t="s">
        <v>104</v>
      </c>
      <c r="G42" s="114" t="s">
        <v>104</v>
      </c>
      <c r="I42" s="114" t="s">
        <v>280</v>
      </c>
      <c r="J42" s="114" t="s">
        <v>104</v>
      </c>
      <c r="K42" s="114" t="s">
        <v>281</v>
      </c>
      <c r="M42" s="114" t="s">
        <v>104</v>
      </c>
      <c r="N42" s="114" t="s">
        <v>104</v>
      </c>
      <c r="O42" s="114" t="s">
        <v>284</v>
      </c>
      <c r="Q42" s="114" t="s">
        <v>104</v>
      </c>
      <c r="R42" s="114" t="s">
        <v>104</v>
      </c>
      <c r="S42" s="114" t="s">
        <v>104</v>
      </c>
      <c r="T42" s="114" t="s">
        <v>104</v>
      </c>
    </row>
    <row r="43" spans="3:20" x14ac:dyDescent="0.2">
      <c r="E43" s="114" t="s">
        <v>285</v>
      </c>
      <c r="F43" s="114" t="s">
        <v>286</v>
      </c>
      <c r="G43" s="114" t="s">
        <v>287</v>
      </c>
      <c r="I43" s="114" t="s">
        <v>288</v>
      </c>
      <c r="J43" s="114" t="s">
        <v>289</v>
      </c>
      <c r="K43" s="114" t="s">
        <v>290</v>
      </c>
      <c r="M43" s="114" t="s">
        <v>291</v>
      </c>
      <c r="N43" s="114" t="s">
        <v>292</v>
      </c>
      <c r="O43" s="114" t="s">
        <v>293</v>
      </c>
      <c r="Q43" s="114" t="s">
        <v>294</v>
      </c>
      <c r="R43" s="114" t="s">
        <v>295</v>
      </c>
      <c r="S43" s="114" t="s">
        <v>296</v>
      </c>
      <c r="T43" s="114" t="s">
        <v>297</v>
      </c>
    </row>
    <row r="44" spans="3:20" x14ac:dyDescent="0.2">
      <c r="D44" s="114" t="s">
        <v>24</v>
      </c>
      <c r="E44" s="114" t="s">
        <v>298</v>
      </c>
      <c r="F44" s="114" t="s">
        <v>299</v>
      </c>
      <c r="G44" s="114" t="s">
        <v>300</v>
      </c>
      <c r="I44" s="114" t="s">
        <v>301</v>
      </c>
      <c r="J44" s="114" t="s">
        <v>302</v>
      </c>
      <c r="K44" s="114" t="s">
        <v>303</v>
      </c>
      <c r="M44" s="114" t="s">
        <v>304</v>
      </c>
      <c r="N44" s="114" t="s">
        <v>305</v>
      </c>
      <c r="O44" s="114" t="s">
        <v>306</v>
      </c>
      <c r="Q44" s="114" t="s">
        <v>307</v>
      </c>
      <c r="R44" s="114" t="s">
        <v>308</v>
      </c>
      <c r="S44" s="114" t="s">
        <v>309</v>
      </c>
      <c r="T44" s="114" t="s">
        <v>310</v>
      </c>
    </row>
    <row r="45" spans="3:20" x14ac:dyDescent="0.2">
      <c r="D45" s="114" t="s">
        <v>25</v>
      </c>
      <c r="E45" s="114" t="s">
        <v>311</v>
      </c>
      <c r="F45" s="114" t="s">
        <v>312</v>
      </c>
      <c r="G45" s="114" t="s">
        <v>313</v>
      </c>
      <c r="I45" s="114" t="s">
        <v>314</v>
      </c>
      <c r="J45" s="114" t="s">
        <v>315</v>
      </c>
      <c r="M45" s="114" t="s">
        <v>316</v>
      </c>
      <c r="N45" s="114" t="s">
        <v>317</v>
      </c>
      <c r="Q45" s="114" t="s">
        <v>318</v>
      </c>
      <c r="R45" s="114" t="s">
        <v>319</v>
      </c>
      <c r="S45" s="114" t="s">
        <v>320</v>
      </c>
      <c r="T45" s="114" t="s">
        <v>321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RowHeight="12.75" x14ac:dyDescent="0.2"/>
  <sheetData>
    <row r="1" spans="1:5" x14ac:dyDescent="0.2">
      <c r="A1" s="114" t="s">
        <v>537</v>
      </c>
      <c r="C1" s="114" t="s">
        <v>5</v>
      </c>
      <c r="D1" s="114" t="s">
        <v>48</v>
      </c>
      <c r="E1" s="114" t="s">
        <v>48</v>
      </c>
    </row>
    <row r="5" spans="1:5" x14ac:dyDescent="0.2">
      <c r="C5" s="114" t="s">
        <v>72</v>
      </c>
      <c r="D5" s="114" t="s">
        <v>102</v>
      </c>
    </row>
    <row r="6" spans="1:5" x14ac:dyDescent="0.2">
      <c r="D6" s="114" t="s">
        <v>30</v>
      </c>
    </row>
    <row r="7" spans="1:5" x14ac:dyDescent="0.2">
      <c r="D7" s="114" t="s">
        <v>322</v>
      </c>
    </row>
    <row r="9" spans="1:5" x14ac:dyDescent="0.2">
      <c r="D9" s="114" t="s">
        <v>31</v>
      </c>
    </row>
    <row r="10" spans="1:5" x14ac:dyDescent="0.2">
      <c r="C10" s="114" t="s">
        <v>323</v>
      </c>
      <c r="D10" s="114" t="s">
        <v>33</v>
      </c>
      <c r="E10" s="114" t="s">
        <v>324</v>
      </c>
    </row>
    <row r="12" spans="1:5" x14ac:dyDescent="0.2">
      <c r="D12" s="114" t="s">
        <v>32</v>
      </c>
    </row>
    <row r="13" spans="1:5" x14ac:dyDescent="0.2">
      <c r="D13" s="114" t="s">
        <v>39</v>
      </c>
    </row>
    <row r="14" spans="1:5" x14ac:dyDescent="0.2">
      <c r="C14" s="114" t="s">
        <v>46</v>
      </c>
      <c r="D14" s="114" t="s">
        <v>34</v>
      </c>
      <c r="E14" s="114" t="s">
        <v>325</v>
      </c>
    </row>
    <row r="16" spans="1:5" x14ac:dyDescent="0.2">
      <c r="D16" s="114" t="s">
        <v>35</v>
      </c>
    </row>
    <row r="17" spans="3:5" x14ac:dyDescent="0.2">
      <c r="C17" s="114" t="s">
        <v>46</v>
      </c>
      <c r="D17" s="114" t="s">
        <v>504</v>
      </c>
      <c r="E17" s="114" t="s">
        <v>326</v>
      </c>
    </row>
    <row r="18" spans="3:5" x14ac:dyDescent="0.2">
      <c r="C18" s="114" t="s">
        <v>327</v>
      </c>
      <c r="D18" s="114" t="s">
        <v>505</v>
      </c>
      <c r="E18" s="114" t="s">
        <v>328</v>
      </c>
    </row>
    <row r="19" spans="3:5" x14ac:dyDescent="0.2">
      <c r="C19" s="114" t="s">
        <v>329</v>
      </c>
      <c r="D19" s="114" t="s">
        <v>506</v>
      </c>
      <c r="E19" s="114" t="s">
        <v>330</v>
      </c>
    </row>
    <row r="20" spans="3:5" x14ac:dyDescent="0.2">
      <c r="C20" s="114" t="s">
        <v>331</v>
      </c>
      <c r="D20" s="114" t="s">
        <v>507</v>
      </c>
      <c r="E20" s="114" t="s">
        <v>332</v>
      </c>
    </row>
    <row r="21" spans="3:5" x14ac:dyDescent="0.2">
      <c r="C21" s="114" t="s">
        <v>333</v>
      </c>
      <c r="D21" s="114" t="s">
        <v>508</v>
      </c>
      <c r="E21" s="114" t="s">
        <v>334</v>
      </c>
    </row>
    <row r="22" spans="3:5" x14ac:dyDescent="0.2">
      <c r="C22" s="114" t="s">
        <v>335</v>
      </c>
      <c r="D22" s="114" t="s">
        <v>509</v>
      </c>
      <c r="E22" s="114" t="s">
        <v>336</v>
      </c>
    </row>
    <row r="23" spans="3:5" x14ac:dyDescent="0.2">
      <c r="C23" s="114" t="s">
        <v>337</v>
      </c>
      <c r="D23" s="114" t="s">
        <v>510</v>
      </c>
      <c r="E23" s="114" t="s">
        <v>338</v>
      </c>
    </row>
    <row r="24" spans="3:5" x14ac:dyDescent="0.2">
      <c r="C24" s="114" t="s">
        <v>339</v>
      </c>
      <c r="D24" s="114" t="s">
        <v>511</v>
      </c>
      <c r="E24" s="114" t="s">
        <v>340</v>
      </c>
    </row>
    <row r="25" spans="3:5" x14ac:dyDescent="0.2">
      <c r="C25" s="114" t="s">
        <v>341</v>
      </c>
      <c r="D25" s="114" t="s">
        <v>512</v>
      </c>
      <c r="E25" s="114" t="s">
        <v>342</v>
      </c>
    </row>
    <row r="26" spans="3:5" x14ac:dyDescent="0.2">
      <c r="D26" s="114" t="s">
        <v>38</v>
      </c>
      <c r="E26" s="114" t="s">
        <v>343</v>
      </c>
    </row>
    <row r="28" spans="3:5" x14ac:dyDescent="0.2">
      <c r="D28" s="114" t="s">
        <v>36</v>
      </c>
    </row>
    <row r="29" spans="3:5" x14ac:dyDescent="0.2">
      <c r="C29" s="114" t="s">
        <v>45</v>
      </c>
      <c r="D29" s="114" t="s">
        <v>513</v>
      </c>
      <c r="E29" s="114" t="s">
        <v>344</v>
      </c>
    </row>
    <row r="30" spans="3:5" x14ac:dyDescent="0.2">
      <c r="C30" s="114" t="s">
        <v>47</v>
      </c>
      <c r="D30" s="114" t="s">
        <v>514</v>
      </c>
      <c r="E30" s="114" t="s">
        <v>345</v>
      </c>
    </row>
    <row r="31" spans="3:5" x14ac:dyDescent="0.2">
      <c r="D31" s="114" t="s">
        <v>37</v>
      </c>
      <c r="E31" s="114" t="s">
        <v>346</v>
      </c>
    </row>
    <row r="33" spans="3:5" x14ac:dyDescent="0.2">
      <c r="D33" s="114" t="s">
        <v>40</v>
      </c>
    </row>
    <row r="34" spans="3:5" x14ac:dyDescent="0.2">
      <c r="C34" s="114" t="s">
        <v>74</v>
      </c>
      <c r="D34" s="114" t="s">
        <v>515</v>
      </c>
      <c r="E34" s="114" t="s">
        <v>347</v>
      </c>
    </row>
    <row r="35" spans="3:5" x14ac:dyDescent="0.2">
      <c r="C35" s="114" t="s">
        <v>75</v>
      </c>
      <c r="D35" s="114" t="s">
        <v>516</v>
      </c>
      <c r="E35" s="114" t="s">
        <v>348</v>
      </c>
    </row>
    <row r="36" spans="3:5" x14ac:dyDescent="0.2">
      <c r="C36" s="114" t="s">
        <v>349</v>
      </c>
      <c r="D36" s="114" t="s">
        <v>517</v>
      </c>
      <c r="E36" s="114" t="s">
        <v>350</v>
      </c>
    </row>
    <row r="37" spans="3:5" x14ac:dyDescent="0.2">
      <c r="D37" s="114" t="s">
        <v>41</v>
      </c>
      <c r="E37" s="114" t="s">
        <v>351</v>
      </c>
    </row>
    <row r="39" spans="3:5" x14ac:dyDescent="0.2">
      <c r="D39" s="114" t="s">
        <v>42</v>
      </c>
      <c r="E39" s="114" t="s">
        <v>352</v>
      </c>
    </row>
    <row r="41" spans="3:5" x14ac:dyDescent="0.2">
      <c r="C41" s="114" t="s">
        <v>353</v>
      </c>
      <c r="D41" s="114" t="s">
        <v>43</v>
      </c>
      <c r="E41" s="114" t="s">
        <v>536</v>
      </c>
    </row>
    <row r="43" spans="3:5" x14ac:dyDescent="0.2">
      <c r="D43" s="114" t="s">
        <v>44</v>
      </c>
      <c r="E43" s="114" t="s">
        <v>354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RowHeight="12.75" x14ac:dyDescent="0.2"/>
  <sheetData>
    <row r="1" spans="1:5" x14ac:dyDescent="0.2">
      <c r="A1" s="114" t="s">
        <v>537</v>
      </c>
      <c r="C1" s="114" t="s">
        <v>5</v>
      </c>
      <c r="D1" s="114" t="s">
        <v>48</v>
      </c>
      <c r="E1" s="114" t="s">
        <v>48</v>
      </c>
    </row>
    <row r="5" spans="1:5" x14ac:dyDescent="0.2">
      <c r="C5" s="114" t="s">
        <v>72</v>
      </c>
      <c r="D5" s="114" t="s">
        <v>102</v>
      </c>
    </row>
    <row r="6" spans="1:5" x14ac:dyDescent="0.2">
      <c r="D6" s="114" t="s">
        <v>30</v>
      </c>
    </row>
    <row r="7" spans="1:5" x14ac:dyDescent="0.2">
      <c r="D7" s="114" t="s">
        <v>322</v>
      </c>
    </row>
    <row r="9" spans="1:5" x14ac:dyDescent="0.2">
      <c r="D9" s="114" t="s">
        <v>31</v>
      </c>
    </row>
    <row r="10" spans="1:5" x14ac:dyDescent="0.2">
      <c r="C10" s="114" t="s">
        <v>323</v>
      </c>
      <c r="D10" s="114" t="s">
        <v>33</v>
      </c>
      <c r="E10" s="114" t="s">
        <v>104</v>
      </c>
    </row>
    <row r="12" spans="1:5" x14ac:dyDescent="0.2">
      <c r="D12" s="114" t="s">
        <v>32</v>
      </c>
    </row>
    <row r="13" spans="1:5" x14ac:dyDescent="0.2">
      <c r="D13" s="114" t="s">
        <v>39</v>
      </c>
    </row>
    <row r="14" spans="1:5" x14ac:dyDescent="0.2">
      <c r="C14" s="114" t="s">
        <v>46</v>
      </c>
      <c r="D14" s="114" t="s">
        <v>34</v>
      </c>
      <c r="E14" s="114" t="s">
        <v>104</v>
      </c>
    </row>
    <row r="16" spans="1:5" x14ac:dyDescent="0.2">
      <c r="D16" s="114" t="s">
        <v>35</v>
      </c>
    </row>
    <row r="17" spans="3:5" x14ac:dyDescent="0.2">
      <c r="C17" s="114" t="s">
        <v>46</v>
      </c>
      <c r="D17" s="114" t="s">
        <v>104</v>
      </c>
      <c r="E17" s="114" t="s">
        <v>104</v>
      </c>
    </row>
    <row r="18" spans="3:5" x14ac:dyDescent="0.2">
      <c r="C18" s="114" t="s">
        <v>327</v>
      </c>
      <c r="D18" s="114" t="s">
        <v>104</v>
      </c>
      <c r="E18" s="114" t="s">
        <v>104</v>
      </c>
    </row>
    <row r="19" spans="3:5" x14ac:dyDescent="0.2">
      <c r="C19" s="114" t="s">
        <v>329</v>
      </c>
      <c r="D19" s="114" t="s">
        <v>104</v>
      </c>
      <c r="E19" s="114" t="s">
        <v>104</v>
      </c>
    </row>
    <row r="20" spans="3:5" x14ac:dyDescent="0.2">
      <c r="C20" s="114" t="s">
        <v>331</v>
      </c>
      <c r="D20" s="114" t="s">
        <v>104</v>
      </c>
      <c r="E20" s="114" t="s">
        <v>104</v>
      </c>
    </row>
    <row r="21" spans="3:5" x14ac:dyDescent="0.2">
      <c r="C21" s="114" t="s">
        <v>333</v>
      </c>
      <c r="D21" s="114" t="s">
        <v>104</v>
      </c>
      <c r="E21" s="114" t="s">
        <v>104</v>
      </c>
    </row>
    <row r="22" spans="3:5" x14ac:dyDescent="0.2">
      <c r="C22" s="114" t="s">
        <v>335</v>
      </c>
      <c r="D22" s="114" t="s">
        <v>104</v>
      </c>
      <c r="E22" s="114" t="s">
        <v>104</v>
      </c>
    </row>
    <row r="23" spans="3:5" x14ac:dyDescent="0.2">
      <c r="C23" s="114" t="s">
        <v>337</v>
      </c>
      <c r="D23" s="114" t="s">
        <v>104</v>
      </c>
      <c r="E23" s="114" t="s">
        <v>104</v>
      </c>
    </row>
    <row r="24" spans="3:5" x14ac:dyDescent="0.2">
      <c r="C24" s="114" t="s">
        <v>339</v>
      </c>
      <c r="D24" s="114" t="s">
        <v>104</v>
      </c>
      <c r="E24" s="114" t="s">
        <v>104</v>
      </c>
    </row>
    <row r="25" spans="3:5" x14ac:dyDescent="0.2">
      <c r="C25" s="114" t="s">
        <v>341</v>
      </c>
      <c r="D25" s="114" t="s">
        <v>104</v>
      </c>
      <c r="E25" s="114" t="s">
        <v>104</v>
      </c>
    </row>
    <row r="26" spans="3:5" x14ac:dyDescent="0.2">
      <c r="D26" s="114" t="s">
        <v>38</v>
      </c>
      <c r="E26" s="114" t="s">
        <v>343</v>
      </c>
    </row>
    <row r="28" spans="3:5" x14ac:dyDescent="0.2">
      <c r="D28" s="114" t="s">
        <v>36</v>
      </c>
    </row>
    <row r="29" spans="3:5" x14ac:dyDescent="0.2">
      <c r="C29" s="114" t="s">
        <v>45</v>
      </c>
      <c r="D29" s="114" t="s">
        <v>104</v>
      </c>
      <c r="E29" s="114" t="s">
        <v>104</v>
      </c>
    </row>
    <row r="30" spans="3:5" x14ac:dyDescent="0.2">
      <c r="C30" s="114" t="s">
        <v>47</v>
      </c>
      <c r="D30" s="114" t="s">
        <v>104</v>
      </c>
      <c r="E30" s="114" t="s">
        <v>104</v>
      </c>
    </row>
    <row r="31" spans="3:5" x14ac:dyDescent="0.2">
      <c r="D31" s="114" t="s">
        <v>37</v>
      </c>
      <c r="E31" s="114" t="s">
        <v>346</v>
      </c>
    </row>
    <row r="33" spans="3:5" x14ac:dyDescent="0.2">
      <c r="D33" s="114" t="s">
        <v>40</v>
      </c>
    </row>
    <row r="34" spans="3:5" x14ac:dyDescent="0.2">
      <c r="C34" s="114" t="s">
        <v>74</v>
      </c>
      <c r="D34" s="114" t="s">
        <v>104</v>
      </c>
      <c r="E34" s="114" t="s">
        <v>104</v>
      </c>
    </row>
    <row r="35" spans="3:5" x14ac:dyDescent="0.2">
      <c r="C35" s="114" t="s">
        <v>75</v>
      </c>
      <c r="D35" s="114" t="s">
        <v>104</v>
      </c>
      <c r="E35" s="114" t="s">
        <v>104</v>
      </c>
    </row>
    <row r="36" spans="3:5" x14ac:dyDescent="0.2">
      <c r="C36" s="114" t="s">
        <v>349</v>
      </c>
      <c r="D36" s="114" t="s">
        <v>104</v>
      </c>
      <c r="E36" s="114" t="s">
        <v>104</v>
      </c>
    </row>
    <row r="37" spans="3:5" x14ac:dyDescent="0.2">
      <c r="D37" s="114" t="s">
        <v>41</v>
      </c>
      <c r="E37" s="114" t="s">
        <v>351</v>
      </c>
    </row>
    <row r="39" spans="3:5" x14ac:dyDescent="0.2">
      <c r="D39" s="114" t="s">
        <v>42</v>
      </c>
      <c r="E39" s="114" t="s">
        <v>352</v>
      </c>
    </row>
    <row r="41" spans="3:5" x14ac:dyDescent="0.2">
      <c r="C41" s="114" t="s">
        <v>353</v>
      </c>
      <c r="D41" s="114" t="s">
        <v>43</v>
      </c>
      <c r="E41" s="114" t="s">
        <v>536</v>
      </c>
    </row>
    <row r="43" spans="3:5" x14ac:dyDescent="0.2">
      <c r="D43" s="114" t="s">
        <v>44</v>
      </c>
      <c r="E43" s="114" t="s">
        <v>354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RowHeight="12.75" x14ac:dyDescent="0.2"/>
  <sheetData>
    <row r="1" spans="1:9" x14ac:dyDescent="0.2">
      <c r="A1" s="114" t="s">
        <v>539</v>
      </c>
      <c r="F1" s="114" t="s">
        <v>55</v>
      </c>
      <c r="G1" s="114" t="s">
        <v>56</v>
      </c>
      <c r="H1" s="114" t="s">
        <v>73</v>
      </c>
      <c r="I1" s="114" t="s">
        <v>83</v>
      </c>
    </row>
    <row r="5" spans="1:9" x14ac:dyDescent="0.2">
      <c r="D5" s="114" t="s">
        <v>49</v>
      </c>
    </row>
    <row r="7" spans="1:9" x14ac:dyDescent="0.2">
      <c r="F7" s="114" t="s">
        <v>50</v>
      </c>
    </row>
    <row r="9" spans="1:9" x14ac:dyDescent="0.2">
      <c r="A9" s="114" t="s">
        <v>54</v>
      </c>
      <c r="F9" s="114" t="s">
        <v>51</v>
      </c>
      <c r="G9" s="114" t="s">
        <v>105</v>
      </c>
      <c r="I9" s="114" t="s">
        <v>84</v>
      </c>
    </row>
    <row r="10" spans="1:9" x14ac:dyDescent="0.2">
      <c r="A10" s="114" t="s">
        <v>54</v>
      </c>
      <c r="F10" s="114" t="s">
        <v>103</v>
      </c>
      <c r="G10" s="114" t="s">
        <v>106</v>
      </c>
      <c r="I10" s="114" t="s">
        <v>84</v>
      </c>
    </row>
    <row r="11" spans="1:9" x14ac:dyDescent="0.2">
      <c r="A11" s="114" t="s">
        <v>54</v>
      </c>
      <c r="F11" s="114" t="s">
        <v>52</v>
      </c>
      <c r="G11" s="114" t="s">
        <v>107</v>
      </c>
      <c r="H11" s="114" t="s">
        <v>108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RowHeight="12.75" x14ac:dyDescent="0.2"/>
  <sheetData>
    <row r="1" spans="1:8" x14ac:dyDescent="0.2">
      <c r="A1" s="114" t="s">
        <v>541</v>
      </c>
      <c r="B1" s="114" t="s">
        <v>5</v>
      </c>
    </row>
    <row r="2" spans="1:8" x14ac:dyDescent="0.2">
      <c r="A2" s="114" t="s">
        <v>5</v>
      </c>
      <c r="E2" s="114" t="s">
        <v>4</v>
      </c>
      <c r="F2" s="114" t="s">
        <v>109</v>
      </c>
      <c r="G2" s="114" t="s">
        <v>110</v>
      </c>
      <c r="H2" s="114" t="s">
        <v>111</v>
      </c>
    </row>
    <row r="3" spans="1:8" x14ac:dyDescent="0.2">
      <c r="A3" s="114" t="s">
        <v>5</v>
      </c>
      <c r="F3" s="114" t="s">
        <v>112</v>
      </c>
      <c r="G3" s="114" t="s">
        <v>113</v>
      </c>
      <c r="H3" s="114" t="s">
        <v>114</v>
      </c>
    </row>
    <row r="4" spans="1:8" x14ac:dyDescent="0.2">
      <c r="A4" s="114" t="s">
        <v>5</v>
      </c>
      <c r="E4" s="114" t="s">
        <v>3</v>
      </c>
      <c r="F4" s="114" t="s">
        <v>115</v>
      </c>
    </row>
    <row r="5" spans="1:8" x14ac:dyDescent="0.2">
      <c r="A5" s="114" t="s">
        <v>5</v>
      </c>
      <c r="B5" s="114" t="s">
        <v>78</v>
      </c>
    </row>
    <row r="6" spans="1:8" x14ac:dyDescent="0.2">
      <c r="A6" s="114" t="s">
        <v>5</v>
      </c>
    </row>
    <row r="9" spans="1:8" x14ac:dyDescent="0.2">
      <c r="E9" s="114" t="s">
        <v>116</v>
      </c>
    </row>
    <row r="10" spans="1:8" x14ac:dyDescent="0.2">
      <c r="E10" s="114" t="s">
        <v>117</v>
      </c>
    </row>
    <row r="12" spans="1:8" x14ac:dyDescent="0.2">
      <c r="E12" s="114" t="s">
        <v>6</v>
      </c>
    </row>
    <row r="14" spans="1:8" x14ac:dyDescent="0.2">
      <c r="F14" s="114" t="s">
        <v>118</v>
      </c>
      <c r="G14" s="114" t="s">
        <v>119</v>
      </c>
      <c r="H14" s="114" t="s">
        <v>120</v>
      </c>
    </row>
    <row r="15" spans="1:8" x14ac:dyDescent="0.2">
      <c r="B15" s="114" t="s">
        <v>76</v>
      </c>
      <c r="E15" s="114" t="s">
        <v>7</v>
      </c>
      <c r="F15" s="114" t="s">
        <v>518</v>
      </c>
      <c r="G15" s="114" t="s">
        <v>519</v>
      </c>
      <c r="H15" s="114" t="s">
        <v>520</v>
      </c>
    </row>
    <row r="16" spans="1:8" x14ac:dyDescent="0.2">
      <c r="B16" s="114" t="s">
        <v>121</v>
      </c>
      <c r="E16" s="114" t="s">
        <v>8</v>
      </c>
      <c r="F16" s="114" t="s">
        <v>521</v>
      </c>
      <c r="G16" s="114" t="s">
        <v>522</v>
      </c>
      <c r="H16" s="114" t="s">
        <v>523</v>
      </c>
    </row>
    <row r="17" spans="2:9" x14ac:dyDescent="0.2">
      <c r="B17" s="114" t="s">
        <v>122</v>
      </c>
      <c r="E17" s="114" t="s">
        <v>9</v>
      </c>
      <c r="F17" s="114" t="s">
        <v>524</v>
      </c>
      <c r="G17" s="114" t="s">
        <v>525</v>
      </c>
      <c r="H17" s="114" t="s">
        <v>526</v>
      </c>
    </row>
    <row r="18" spans="2:9" x14ac:dyDescent="0.2">
      <c r="B18" s="114" t="s">
        <v>123</v>
      </c>
      <c r="E18" s="114" t="s">
        <v>10</v>
      </c>
      <c r="F18" s="114" t="s">
        <v>527</v>
      </c>
      <c r="G18" s="114" t="s">
        <v>528</v>
      </c>
      <c r="H18" s="114" t="s">
        <v>529</v>
      </c>
    </row>
    <row r="19" spans="2:9" x14ac:dyDescent="0.2">
      <c r="B19" s="114" t="s">
        <v>77</v>
      </c>
      <c r="E19" s="114" t="s">
        <v>0</v>
      </c>
      <c r="F19" s="114" t="s">
        <v>530</v>
      </c>
      <c r="G19" s="114" t="s">
        <v>531</v>
      </c>
      <c r="H19" s="114" t="s">
        <v>532</v>
      </c>
    </row>
    <row r="20" spans="2:9" x14ac:dyDescent="0.2">
      <c r="E20" s="114" t="s">
        <v>1</v>
      </c>
      <c r="F20" s="114" t="s">
        <v>124</v>
      </c>
      <c r="G20" s="114" t="s">
        <v>125</v>
      </c>
      <c r="H20" s="114" t="s">
        <v>126</v>
      </c>
      <c r="I20" s="114" t="s">
        <v>127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heetViews>
  <sheetFormatPr defaultRowHeight="12.75" x14ac:dyDescent="0.2"/>
  <sheetData>
    <row r="1" spans="1:20" x14ac:dyDescent="0.2">
      <c r="A1" s="114" t="s">
        <v>543</v>
      </c>
      <c r="C1" s="114" t="s">
        <v>5</v>
      </c>
    </row>
    <row r="2" spans="1:20" x14ac:dyDescent="0.2">
      <c r="A2" s="114" t="s">
        <v>5</v>
      </c>
      <c r="D2" s="114" t="s">
        <v>4</v>
      </c>
      <c r="E2" s="114" t="s">
        <v>128</v>
      </c>
      <c r="F2" s="114" t="s">
        <v>109</v>
      </c>
      <c r="G2" s="114" t="s">
        <v>111</v>
      </c>
      <c r="H2" s="114" t="s">
        <v>129</v>
      </c>
      <c r="J2" s="114" t="s">
        <v>130</v>
      </c>
      <c r="M2" s="114" t="s">
        <v>131</v>
      </c>
      <c r="Q2" s="114" t="s">
        <v>132</v>
      </c>
      <c r="R2" s="114" t="s">
        <v>133</v>
      </c>
      <c r="S2" s="114" t="s">
        <v>134</v>
      </c>
      <c r="T2" s="114" t="s">
        <v>135</v>
      </c>
    </row>
    <row r="3" spans="1:20" x14ac:dyDescent="0.2">
      <c r="A3" s="114" t="s">
        <v>5</v>
      </c>
      <c r="E3" s="114" t="s">
        <v>136</v>
      </c>
      <c r="F3" s="114" t="s">
        <v>112</v>
      </c>
      <c r="G3" s="114" t="s">
        <v>113</v>
      </c>
      <c r="J3" s="114" t="s">
        <v>119</v>
      </c>
      <c r="M3" s="114" t="s">
        <v>119</v>
      </c>
      <c r="O3" s="114" t="s">
        <v>137</v>
      </c>
      <c r="P3" s="114" t="s">
        <v>138</v>
      </c>
      <c r="Q3" s="114" t="s">
        <v>139</v>
      </c>
      <c r="R3" s="114" t="s">
        <v>140</v>
      </c>
      <c r="S3" s="114" t="s">
        <v>141</v>
      </c>
      <c r="T3" s="114" t="s">
        <v>119</v>
      </c>
    </row>
    <row r="4" spans="1:20" x14ac:dyDescent="0.2">
      <c r="A4" s="114" t="s">
        <v>5</v>
      </c>
      <c r="D4" s="114" t="s">
        <v>3</v>
      </c>
      <c r="E4" s="114" t="s">
        <v>115</v>
      </c>
    </row>
    <row r="5" spans="1:20" x14ac:dyDescent="0.2">
      <c r="A5" s="114" t="s">
        <v>5</v>
      </c>
      <c r="C5" s="114" t="s">
        <v>72</v>
      </c>
    </row>
    <row r="6" spans="1:20" x14ac:dyDescent="0.2">
      <c r="A6" s="114" t="s">
        <v>5</v>
      </c>
    </row>
    <row r="7" spans="1:20" x14ac:dyDescent="0.2">
      <c r="D7" s="114" t="s">
        <v>11</v>
      </c>
    </row>
    <row r="8" spans="1:20" x14ac:dyDescent="0.2">
      <c r="D8" s="114" t="s">
        <v>116</v>
      </c>
    </row>
    <row r="9" spans="1:20" x14ac:dyDescent="0.2">
      <c r="D9" s="114" t="s">
        <v>142</v>
      </c>
    </row>
    <row r="11" spans="1:20" x14ac:dyDescent="0.2">
      <c r="E11" s="114" t="s">
        <v>6</v>
      </c>
      <c r="I11" s="114" t="s">
        <v>143</v>
      </c>
      <c r="M11" s="114" t="s">
        <v>144</v>
      </c>
      <c r="Q11" s="114" t="s">
        <v>29</v>
      </c>
    </row>
    <row r="13" spans="1:20" x14ac:dyDescent="0.2">
      <c r="E13" s="114" t="s">
        <v>145</v>
      </c>
      <c r="F13" s="114" t="s">
        <v>118</v>
      </c>
      <c r="G13" s="114" t="s">
        <v>119</v>
      </c>
      <c r="I13" s="114" t="s">
        <v>26</v>
      </c>
      <c r="J13" s="114" t="s">
        <v>27</v>
      </c>
      <c r="K13" s="114" t="s">
        <v>28</v>
      </c>
      <c r="M13" s="114" t="s">
        <v>26</v>
      </c>
      <c r="N13" s="114" t="s">
        <v>27</v>
      </c>
      <c r="O13" s="114" t="s">
        <v>28</v>
      </c>
      <c r="Q13" s="114" t="s">
        <v>146</v>
      </c>
      <c r="R13" s="114" t="s">
        <v>147</v>
      </c>
      <c r="S13" s="114" t="s">
        <v>148</v>
      </c>
      <c r="T13" s="114" t="s">
        <v>149</v>
      </c>
    </row>
    <row r="14" spans="1:20" x14ac:dyDescent="0.2">
      <c r="D14" s="114" t="s">
        <v>2</v>
      </c>
    </row>
    <row r="15" spans="1:20" x14ac:dyDescent="0.2">
      <c r="C15" s="114" t="s">
        <v>150</v>
      </c>
      <c r="D15" s="114" t="s">
        <v>355</v>
      </c>
      <c r="E15" s="114" t="s">
        <v>356</v>
      </c>
      <c r="F15" s="114" t="s">
        <v>357</v>
      </c>
      <c r="G15" s="114" t="s">
        <v>358</v>
      </c>
      <c r="I15" s="114" t="s">
        <v>151</v>
      </c>
      <c r="J15" s="114" t="s">
        <v>359</v>
      </c>
      <c r="K15" s="114" t="s">
        <v>152</v>
      </c>
      <c r="M15" s="114" t="s">
        <v>360</v>
      </c>
      <c r="N15" s="114" t="s">
        <v>153</v>
      </c>
      <c r="O15" s="114" t="s">
        <v>154</v>
      </c>
      <c r="Q15" s="114" t="s">
        <v>361</v>
      </c>
      <c r="R15" s="114" t="s">
        <v>362</v>
      </c>
      <c r="S15" s="114" t="s">
        <v>363</v>
      </c>
      <c r="T15" s="114" t="s">
        <v>364</v>
      </c>
    </row>
    <row r="16" spans="1:20" x14ac:dyDescent="0.2">
      <c r="C16" s="114" t="s">
        <v>155</v>
      </c>
      <c r="D16" s="114" t="s">
        <v>365</v>
      </c>
      <c r="E16" s="114" t="s">
        <v>366</v>
      </c>
      <c r="F16" s="114" t="s">
        <v>367</v>
      </c>
      <c r="G16" s="114" t="s">
        <v>368</v>
      </c>
      <c r="I16" s="114" t="s">
        <v>156</v>
      </c>
      <c r="J16" s="114" t="s">
        <v>369</v>
      </c>
      <c r="K16" s="114" t="s">
        <v>157</v>
      </c>
      <c r="M16" s="114" t="s">
        <v>158</v>
      </c>
      <c r="N16" s="114" t="s">
        <v>159</v>
      </c>
      <c r="O16" s="114" t="s">
        <v>160</v>
      </c>
      <c r="Q16" s="114" t="s">
        <v>370</v>
      </c>
      <c r="R16" s="114" t="s">
        <v>371</v>
      </c>
      <c r="S16" s="114" t="s">
        <v>372</v>
      </c>
      <c r="T16" s="114" t="s">
        <v>373</v>
      </c>
    </row>
    <row r="17" spans="3:20" x14ac:dyDescent="0.2">
      <c r="C17" s="114" t="s">
        <v>161</v>
      </c>
      <c r="D17" s="114" t="s">
        <v>374</v>
      </c>
      <c r="E17" s="114" t="s">
        <v>375</v>
      </c>
      <c r="F17" s="114" t="s">
        <v>376</v>
      </c>
      <c r="G17" s="114" t="s">
        <v>377</v>
      </c>
      <c r="I17" s="114" t="s">
        <v>162</v>
      </c>
      <c r="J17" s="114" t="s">
        <v>378</v>
      </c>
      <c r="K17" s="114" t="s">
        <v>163</v>
      </c>
      <c r="M17" s="114" t="s">
        <v>164</v>
      </c>
      <c r="N17" s="114" t="s">
        <v>165</v>
      </c>
      <c r="O17" s="114" t="s">
        <v>166</v>
      </c>
      <c r="Q17" s="114" t="s">
        <v>379</v>
      </c>
      <c r="R17" s="114" t="s">
        <v>380</v>
      </c>
      <c r="S17" s="114" t="s">
        <v>381</v>
      </c>
      <c r="T17" s="114" t="s">
        <v>382</v>
      </c>
    </row>
    <row r="18" spans="3:20" x14ac:dyDescent="0.2">
      <c r="C18" s="114" t="s">
        <v>167</v>
      </c>
      <c r="D18" s="114" t="s">
        <v>383</v>
      </c>
      <c r="E18" s="114" t="s">
        <v>384</v>
      </c>
      <c r="F18" s="114" t="s">
        <v>385</v>
      </c>
      <c r="G18" s="114" t="s">
        <v>386</v>
      </c>
      <c r="I18" s="114" t="s">
        <v>168</v>
      </c>
      <c r="J18" s="114" t="s">
        <v>387</v>
      </c>
      <c r="K18" s="114" t="s">
        <v>169</v>
      </c>
      <c r="M18" s="114" t="s">
        <v>170</v>
      </c>
      <c r="N18" s="114" t="s">
        <v>171</v>
      </c>
      <c r="O18" s="114" t="s">
        <v>172</v>
      </c>
      <c r="Q18" s="114" t="s">
        <v>388</v>
      </c>
      <c r="R18" s="114" t="s">
        <v>389</v>
      </c>
      <c r="S18" s="114" t="s">
        <v>390</v>
      </c>
      <c r="T18" s="114" t="s">
        <v>391</v>
      </c>
    </row>
    <row r="19" spans="3:20" x14ac:dyDescent="0.2">
      <c r="D19" s="114" t="s">
        <v>1</v>
      </c>
      <c r="E19" s="114" t="s">
        <v>173</v>
      </c>
      <c r="F19" s="114" t="s">
        <v>174</v>
      </c>
      <c r="G19" s="114" t="s">
        <v>175</v>
      </c>
      <c r="I19" s="114" t="s">
        <v>176</v>
      </c>
      <c r="J19" s="114" t="s">
        <v>177</v>
      </c>
      <c r="K19" s="114" t="s">
        <v>178</v>
      </c>
      <c r="M19" s="114" t="s">
        <v>179</v>
      </c>
      <c r="N19" s="114" t="s">
        <v>180</v>
      </c>
      <c r="O19" s="114" t="s">
        <v>181</v>
      </c>
      <c r="Q19" s="114" t="s">
        <v>182</v>
      </c>
      <c r="R19" s="114" t="s">
        <v>183</v>
      </c>
      <c r="S19" s="114" t="s">
        <v>184</v>
      </c>
      <c r="T19" s="114" t="s">
        <v>185</v>
      </c>
    </row>
    <row r="21" spans="3:20" x14ac:dyDescent="0.2">
      <c r="D21" s="114" t="s">
        <v>12</v>
      </c>
    </row>
    <row r="22" spans="3:20" x14ac:dyDescent="0.2">
      <c r="C22" s="114" t="s">
        <v>64</v>
      </c>
      <c r="D22" s="114" t="s">
        <v>392</v>
      </c>
      <c r="E22" s="114" t="s">
        <v>393</v>
      </c>
      <c r="F22" s="114" t="s">
        <v>394</v>
      </c>
      <c r="G22" s="114" t="s">
        <v>395</v>
      </c>
      <c r="I22" s="114" t="s">
        <v>186</v>
      </c>
      <c r="J22" s="114" t="s">
        <v>396</v>
      </c>
      <c r="K22" s="114" t="s">
        <v>187</v>
      </c>
      <c r="M22" s="114" t="s">
        <v>188</v>
      </c>
      <c r="N22" s="114" t="s">
        <v>189</v>
      </c>
      <c r="O22" s="114" t="s">
        <v>190</v>
      </c>
      <c r="Q22" s="114" t="s">
        <v>397</v>
      </c>
      <c r="R22" s="114" t="s">
        <v>398</v>
      </c>
      <c r="S22" s="114" t="s">
        <v>399</v>
      </c>
      <c r="T22" s="114" t="s">
        <v>400</v>
      </c>
    </row>
    <row r="23" spans="3:20" x14ac:dyDescent="0.2">
      <c r="C23" s="114" t="s">
        <v>191</v>
      </c>
      <c r="D23" s="114" t="s">
        <v>401</v>
      </c>
      <c r="E23" s="114" t="s">
        <v>402</v>
      </c>
      <c r="F23" s="114" t="s">
        <v>403</v>
      </c>
      <c r="G23" s="114" t="s">
        <v>404</v>
      </c>
      <c r="I23" s="114" t="s">
        <v>192</v>
      </c>
      <c r="J23" s="114" t="s">
        <v>405</v>
      </c>
      <c r="K23" s="114" t="s">
        <v>193</v>
      </c>
      <c r="M23" s="114" t="s">
        <v>194</v>
      </c>
      <c r="N23" s="114" t="s">
        <v>195</v>
      </c>
      <c r="O23" s="114" t="s">
        <v>196</v>
      </c>
      <c r="Q23" s="114" t="s">
        <v>406</v>
      </c>
      <c r="R23" s="114" t="s">
        <v>407</v>
      </c>
      <c r="S23" s="114" t="s">
        <v>408</v>
      </c>
      <c r="T23" s="114" t="s">
        <v>409</v>
      </c>
    </row>
    <row r="24" spans="3:20" x14ac:dyDescent="0.2">
      <c r="C24" s="114" t="s">
        <v>197</v>
      </c>
      <c r="D24" s="114" t="s">
        <v>410</v>
      </c>
      <c r="E24" s="114" t="s">
        <v>411</v>
      </c>
      <c r="F24" s="114" t="s">
        <v>412</v>
      </c>
      <c r="G24" s="114" t="s">
        <v>413</v>
      </c>
      <c r="I24" s="114" t="s">
        <v>198</v>
      </c>
      <c r="J24" s="114" t="s">
        <v>414</v>
      </c>
      <c r="K24" s="114" t="s">
        <v>199</v>
      </c>
      <c r="M24" s="114" t="s">
        <v>200</v>
      </c>
      <c r="N24" s="114" t="s">
        <v>201</v>
      </c>
      <c r="O24" s="114" t="s">
        <v>202</v>
      </c>
      <c r="Q24" s="114" t="s">
        <v>415</v>
      </c>
      <c r="R24" s="114" t="s">
        <v>416</v>
      </c>
      <c r="S24" s="114" t="s">
        <v>417</v>
      </c>
      <c r="T24" s="114" t="s">
        <v>418</v>
      </c>
    </row>
    <row r="25" spans="3:20" x14ac:dyDescent="0.2">
      <c r="C25" s="114" t="s">
        <v>203</v>
      </c>
      <c r="D25" s="114" t="s">
        <v>419</v>
      </c>
      <c r="E25" s="114" t="s">
        <v>420</v>
      </c>
      <c r="F25" s="114" t="s">
        <v>421</v>
      </c>
      <c r="G25" s="114" t="s">
        <v>422</v>
      </c>
      <c r="I25" s="114" t="s">
        <v>204</v>
      </c>
      <c r="J25" s="114" t="s">
        <v>423</v>
      </c>
      <c r="K25" s="114" t="s">
        <v>205</v>
      </c>
      <c r="M25" s="114" t="s">
        <v>206</v>
      </c>
      <c r="N25" s="114" t="s">
        <v>207</v>
      </c>
      <c r="O25" s="114" t="s">
        <v>208</v>
      </c>
      <c r="Q25" s="114" t="s">
        <v>424</v>
      </c>
      <c r="R25" s="114" t="s">
        <v>425</v>
      </c>
      <c r="S25" s="114" t="s">
        <v>426</v>
      </c>
      <c r="T25" s="114" t="s">
        <v>427</v>
      </c>
    </row>
    <row r="26" spans="3:20" x14ac:dyDescent="0.2">
      <c r="C26" s="114" t="s">
        <v>209</v>
      </c>
      <c r="D26" s="114" t="s">
        <v>428</v>
      </c>
      <c r="E26" s="114" t="s">
        <v>429</v>
      </c>
      <c r="F26" s="114" t="s">
        <v>430</v>
      </c>
      <c r="G26" s="114" t="s">
        <v>431</v>
      </c>
      <c r="I26" s="114" t="s">
        <v>210</v>
      </c>
      <c r="J26" s="114" t="s">
        <v>432</v>
      </c>
      <c r="K26" s="114" t="s">
        <v>211</v>
      </c>
      <c r="M26" s="114" t="s">
        <v>212</v>
      </c>
      <c r="N26" s="114" t="s">
        <v>213</v>
      </c>
      <c r="O26" s="114" t="s">
        <v>214</v>
      </c>
      <c r="Q26" s="114" t="s">
        <v>433</v>
      </c>
      <c r="R26" s="114" t="s">
        <v>434</v>
      </c>
      <c r="S26" s="114" t="s">
        <v>435</v>
      </c>
      <c r="T26" s="114" t="s">
        <v>436</v>
      </c>
    </row>
    <row r="27" spans="3:20" x14ac:dyDescent="0.2">
      <c r="C27" s="114" t="s">
        <v>215</v>
      </c>
      <c r="D27" s="114" t="s">
        <v>437</v>
      </c>
    </row>
    <row r="28" spans="3:20" x14ac:dyDescent="0.2">
      <c r="C28" s="114" t="s">
        <v>216</v>
      </c>
      <c r="D28" s="114" t="s">
        <v>438</v>
      </c>
    </row>
    <row r="29" spans="3:20" x14ac:dyDescent="0.2">
      <c r="C29" s="114" t="s">
        <v>217</v>
      </c>
      <c r="D29" s="114" t="s">
        <v>439</v>
      </c>
    </row>
    <row r="30" spans="3:20" x14ac:dyDescent="0.2">
      <c r="D30" s="114" t="s">
        <v>13</v>
      </c>
      <c r="E30" s="114" t="s">
        <v>218</v>
      </c>
      <c r="F30" s="114" t="s">
        <v>219</v>
      </c>
      <c r="G30" s="114" t="s">
        <v>220</v>
      </c>
      <c r="I30" s="114" t="s">
        <v>221</v>
      </c>
      <c r="J30" s="114" t="s">
        <v>222</v>
      </c>
      <c r="K30" s="114" t="s">
        <v>223</v>
      </c>
      <c r="M30" s="114" t="s">
        <v>224</v>
      </c>
      <c r="N30" s="114" t="s">
        <v>225</v>
      </c>
      <c r="O30" s="114" t="s">
        <v>226</v>
      </c>
      <c r="Q30" s="114" t="s">
        <v>227</v>
      </c>
      <c r="R30" s="114" t="s">
        <v>228</v>
      </c>
      <c r="S30" s="114" t="s">
        <v>229</v>
      </c>
      <c r="T30" s="114" t="s">
        <v>230</v>
      </c>
    </row>
    <row r="32" spans="3:20" x14ac:dyDescent="0.2">
      <c r="D32" s="114" t="s">
        <v>14</v>
      </c>
      <c r="E32" s="114" t="s">
        <v>231</v>
      </c>
      <c r="F32" s="114" t="s">
        <v>232</v>
      </c>
      <c r="G32" s="114" t="s">
        <v>233</v>
      </c>
      <c r="I32" s="114" t="s">
        <v>234</v>
      </c>
      <c r="J32" s="114" t="s">
        <v>235</v>
      </c>
      <c r="K32" s="114" t="s">
        <v>236</v>
      </c>
      <c r="M32" s="114" t="s">
        <v>237</v>
      </c>
      <c r="N32" s="114" t="s">
        <v>238</v>
      </c>
      <c r="O32" s="114" t="s">
        <v>239</v>
      </c>
      <c r="Q32" s="114" t="s">
        <v>240</v>
      </c>
      <c r="R32" s="114" t="s">
        <v>241</v>
      </c>
      <c r="S32" s="114" t="s">
        <v>242</v>
      </c>
      <c r="T32" s="114" t="s">
        <v>243</v>
      </c>
    </row>
    <row r="34" spans="3:20" x14ac:dyDescent="0.2">
      <c r="D34" s="114" t="s">
        <v>15</v>
      </c>
    </row>
    <row r="35" spans="3:20" x14ac:dyDescent="0.2">
      <c r="C35" s="114" t="s">
        <v>65</v>
      </c>
      <c r="D35" s="114" t="s">
        <v>16</v>
      </c>
      <c r="E35" s="114" t="s">
        <v>440</v>
      </c>
      <c r="F35" s="114" t="s">
        <v>441</v>
      </c>
      <c r="G35" s="114" t="s">
        <v>442</v>
      </c>
      <c r="I35" s="114" t="s">
        <v>244</v>
      </c>
      <c r="J35" s="114" t="s">
        <v>443</v>
      </c>
      <c r="K35" s="114" t="s">
        <v>245</v>
      </c>
      <c r="M35" s="114" t="s">
        <v>246</v>
      </c>
      <c r="N35" s="114" t="s">
        <v>247</v>
      </c>
      <c r="O35" s="114" t="s">
        <v>248</v>
      </c>
      <c r="Q35" s="114" t="s">
        <v>444</v>
      </c>
      <c r="R35" s="114" t="s">
        <v>445</v>
      </c>
      <c r="S35" s="114" t="s">
        <v>446</v>
      </c>
      <c r="T35" s="114" t="s">
        <v>447</v>
      </c>
    </row>
    <row r="36" spans="3:20" x14ac:dyDescent="0.2">
      <c r="C36" s="114" t="s">
        <v>66</v>
      </c>
      <c r="D36" s="114" t="s">
        <v>17</v>
      </c>
      <c r="E36" s="114" t="s">
        <v>448</v>
      </c>
      <c r="F36" s="114" t="s">
        <v>449</v>
      </c>
      <c r="G36" s="114" t="s">
        <v>450</v>
      </c>
      <c r="I36" s="114" t="s">
        <v>249</v>
      </c>
      <c r="J36" s="114" t="s">
        <v>451</v>
      </c>
      <c r="K36" s="114" t="s">
        <v>250</v>
      </c>
      <c r="M36" s="114" t="s">
        <v>251</v>
      </c>
      <c r="N36" s="114" t="s">
        <v>252</v>
      </c>
      <c r="O36" s="114" t="s">
        <v>253</v>
      </c>
      <c r="Q36" s="114" t="s">
        <v>452</v>
      </c>
      <c r="R36" s="114" t="s">
        <v>453</v>
      </c>
      <c r="S36" s="114" t="s">
        <v>454</v>
      </c>
      <c r="T36" s="114" t="s">
        <v>455</v>
      </c>
    </row>
    <row r="37" spans="3:20" x14ac:dyDescent="0.2">
      <c r="C37" s="114" t="s">
        <v>254</v>
      </c>
      <c r="D37" s="114" t="s">
        <v>18</v>
      </c>
      <c r="E37" s="114" t="s">
        <v>456</v>
      </c>
      <c r="F37" s="114" t="s">
        <v>457</v>
      </c>
      <c r="G37" s="114" t="s">
        <v>458</v>
      </c>
      <c r="I37" s="114" t="s">
        <v>255</v>
      </c>
      <c r="J37" s="114" t="s">
        <v>459</v>
      </c>
      <c r="K37" s="114" t="s">
        <v>256</v>
      </c>
      <c r="M37" s="114" t="s">
        <v>257</v>
      </c>
      <c r="N37" s="114" t="s">
        <v>258</v>
      </c>
      <c r="O37" s="114" t="s">
        <v>259</v>
      </c>
      <c r="Q37" s="114" t="s">
        <v>460</v>
      </c>
      <c r="R37" s="114" t="s">
        <v>461</v>
      </c>
      <c r="S37" s="114" t="s">
        <v>462</v>
      </c>
      <c r="T37" s="114" t="s">
        <v>463</v>
      </c>
    </row>
    <row r="38" spans="3:20" x14ac:dyDescent="0.2">
      <c r="C38" s="114" t="s">
        <v>67</v>
      </c>
      <c r="D38" s="114" t="s">
        <v>19</v>
      </c>
      <c r="E38" s="114" t="s">
        <v>464</v>
      </c>
      <c r="F38" s="114" t="s">
        <v>465</v>
      </c>
      <c r="G38" s="114" t="s">
        <v>466</v>
      </c>
      <c r="I38" s="114" t="s">
        <v>260</v>
      </c>
      <c r="J38" s="114" t="s">
        <v>467</v>
      </c>
      <c r="K38" s="114" t="s">
        <v>261</v>
      </c>
      <c r="M38" s="114" t="s">
        <v>262</v>
      </c>
      <c r="N38" s="114" t="s">
        <v>263</v>
      </c>
      <c r="O38" s="114" t="s">
        <v>264</v>
      </c>
      <c r="Q38" s="114" t="s">
        <v>468</v>
      </c>
      <c r="R38" s="114" t="s">
        <v>469</v>
      </c>
      <c r="S38" s="114" t="s">
        <v>470</v>
      </c>
      <c r="T38" s="114" t="s">
        <v>471</v>
      </c>
    </row>
    <row r="39" spans="3:20" x14ac:dyDescent="0.2">
      <c r="C39" s="114" t="s">
        <v>68</v>
      </c>
      <c r="D39" s="114" t="s">
        <v>20</v>
      </c>
      <c r="E39" s="114" t="s">
        <v>472</v>
      </c>
      <c r="F39" s="114" t="s">
        <v>473</v>
      </c>
      <c r="G39" s="114" t="s">
        <v>474</v>
      </c>
      <c r="I39" s="114" t="s">
        <v>265</v>
      </c>
      <c r="J39" s="114" t="s">
        <v>475</v>
      </c>
      <c r="K39" s="114" t="s">
        <v>266</v>
      </c>
      <c r="M39" s="114" t="s">
        <v>267</v>
      </c>
      <c r="N39" s="114" t="s">
        <v>268</v>
      </c>
      <c r="O39" s="114" t="s">
        <v>269</v>
      </c>
      <c r="Q39" s="114" t="s">
        <v>476</v>
      </c>
      <c r="R39" s="114" t="s">
        <v>477</v>
      </c>
      <c r="S39" s="114" t="s">
        <v>478</v>
      </c>
      <c r="T39" s="114" t="s">
        <v>479</v>
      </c>
    </row>
    <row r="40" spans="3:20" x14ac:dyDescent="0.2">
      <c r="C40" s="114" t="s">
        <v>69</v>
      </c>
      <c r="D40" s="114" t="s">
        <v>21</v>
      </c>
      <c r="E40" s="114" t="s">
        <v>480</v>
      </c>
      <c r="F40" s="114" t="s">
        <v>481</v>
      </c>
      <c r="G40" s="114" t="s">
        <v>482</v>
      </c>
      <c r="I40" s="114" t="s">
        <v>270</v>
      </c>
      <c r="J40" s="114" t="s">
        <v>483</v>
      </c>
      <c r="K40" s="114" t="s">
        <v>271</v>
      </c>
      <c r="M40" s="114" t="s">
        <v>272</v>
      </c>
      <c r="N40" s="114" t="s">
        <v>273</v>
      </c>
      <c r="O40" s="114" t="s">
        <v>274</v>
      </c>
      <c r="Q40" s="114" t="s">
        <v>484</v>
      </c>
      <c r="R40" s="114" t="s">
        <v>485</v>
      </c>
      <c r="S40" s="114" t="s">
        <v>486</v>
      </c>
      <c r="T40" s="114" t="s">
        <v>487</v>
      </c>
    </row>
    <row r="41" spans="3:20" x14ac:dyDescent="0.2">
      <c r="C41" s="114" t="s">
        <v>70</v>
      </c>
      <c r="D41" s="114" t="s">
        <v>22</v>
      </c>
      <c r="E41" s="114" t="s">
        <v>488</v>
      </c>
      <c r="F41" s="114" t="s">
        <v>489</v>
      </c>
      <c r="G41" s="114" t="s">
        <v>490</v>
      </c>
      <c r="I41" s="114" t="s">
        <v>275</v>
      </c>
      <c r="J41" s="114" t="s">
        <v>491</v>
      </c>
      <c r="K41" s="114" t="s">
        <v>276</v>
      </c>
      <c r="M41" s="114" t="s">
        <v>277</v>
      </c>
      <c r="N41" s="114" t="s">
        <v>278</v>
      </c>
      <c r="O41" s="114" t="s">
        <v>279</v>
      </c>
      <c r="Q41" s="114" t="s">
        <v>492</v>
      </c>
      <c r="R41" s="114" t="s">
        <v>493</v>
      </c>
      <c r="S41" s="114" t="s">
        <v>494</v>
      </c>
      <c r="T41" s="114" t="s">
        <v>495</v>
      </c>
    </row>
    <row r="42" spans="3:20" x14ac:dyDescent="0.2">
      <c r="C42" s="114" t="s">
        <v>71</v>
      </c>
      <c r="D42" s="114" t="s">
        <v>23</v>
      </c>
      <c r="E42" s="114" t="s">
        <v>496</v>
      </c>
      <c r="F42" s="114" t="s">
        <v>497</v>
      </c>
      <c r="G42" s="114" t="s">
        <v>498</v>
      </c>
      <c r="I42" s="114" t="s">
        <v>280</v>
      </c>
      <c r="J42" s="114" t="s">
        <v>499</v>
      </c>
      <c r="K42" s="114" t="s">
        <v>281</v>
      </c>
      <c r="M42" s="114" t="s">
        <v>282</v>
      </c>
      <c r="N42" s="114" t="s">
        <v>283</v>
      </c>
      <c r="O42" s="114" t="s">
        <v>284</v>
      </c>
      <c r="Q42" s="114" t="s">
        <v>500</v>
      </c>
      <c r="R42" s="114" t="s">
        <v>501</v>
      </c>
      <c r="S42" s="114" t="s">
        <v>502</v>
      </c>
      <c r="T42" s="114" t="s">
        <v>503</v>
      </c>
    </row>
    <row r="43" spans="3:20" x14ac:dyDescent="0.2">
      <c r="E43" s="114" t="s">
        <v>285</v>
      </c>
      <c r="F43" s="114" t="s">
        <v>286</v>
      </c>
      <c r="G43" s="114" t="s">
        <v>287</v>
      </c>
      <c r="I43" s="114" t="s">
        <v>288</v>
      </c>
      <c r="J43" s="114" t="s">
        <v>289</v>
      </c>
      <c r="K43" s="114" t="s">
        <v>290</v>
      </c>
      <c r="M43" s="114" t="s">
        <v>291</v>
      </c>
      <c r="N43" s="114" t="s">
        <v>292</v>
      </c>
      <c r="O43" s="114" t="s">
        <v>293</v>
      </c>
      <c r="Q43" s="114" t="s">
        <v>294</v>
      </c>
      <c r="R43" s="114" t="s">
        <v>295</v>
      </c>
      <c r="S43" s="114" t="s">
        <v>296</v>
      </c>
      <c r="T43" s="114" t="s">
        <v>297</v>
      </c>
    </row>
    <row r="44" spans="3:20" x14ac:dyDescent="0.2">
      <c r="D44" s="114" t="s">
        <v>24</v>
      </c>
      <c r="E44" s="114" t="s">
        <v>298</v>
      </c>
      <c r="F44" s="114" t="s">
        <v>299</v>
      </c>
      <c r="G44" s="114" t="s">
        <v>300</v>
      </c>
      <c r="I44" s="114" t="s">
        <v>301</v>
      </c>
      <c r="J44" s="114" t="s">
        <v>302</v>
      </c>
      <c r="K44" s="114" t="s">
        <v>303</v>
      </c>
      <c r="M44" s="114" t="s">
        <v>304</v>
      </c>
      <c r="N44" s="114" t="s">
        <v>305</v>
      </c>
      <c r="O44" s="114" t="s">
        <v>306</v>
      </c>
      <c r="Q44" s="114" t="s">
        <v>307</v>
      </c>
      <c r="R44" s="114" t="s">
        <v>308</v>
      </c>
      <c r="S44" s="114" t="s">
        <v>309</v>
      </c>
      <c r="T44" s="114" t="s">
        <v>310</v>
      </c>
    </row>
    <row r="45" spans="3:20" x14ac:dyDescent="0.2">
      <c r="D45" s="114" t="s">
        <v>25</v>
      </c>
      <c r="E45" s="114" t="s">
        <v>311</v>
      </c>
      <c r="F45" s="114" t="s">
        <v>312</v>
      </c>
      <c r="G45" s="114" t="s">
        <v>313</v>
      </c>
      <c r="I45" s="114" t="s">
        <v>314</v>
      </c>
      <c r="J45" s="114" t="s">
        <v>315</v>
      </c>
      <c r="M45" s="114" t="s">
        <v>316</v>
      </c>
      <c r="N45" s="114" t="s">
        <v>317</v>
      </c>
      <c r="Q45" s="114" t="s">
        <v>318</v>
      </c>
      <c r="R45" s="114" t="s">
        <v>319</v>
      </c>
      <c r="S45" s="114" t="s">
        <v>320</v>
      </c>
      <c r="T45" s="114" t="s">
        <v>321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RowHeight="12.75" x14ac:dyDescent="0.2"/>
  <sheetData>
    <row r="1" spans="1:5" x14ac:dyDescent="0.2">
      <c r="A1" s="114" t="s">
        <v>545</v>
      </c>
      <c r="C1" s="114" t="s">
        <v>5</v>
      </c>
      <c r="D1" s="114" t="s">
        <v>48</v>
      </c>
      <c r="E1" s="114" t="s">
        <v>48</v>
      </c>
    </row>
    <row r="5" spans="1:5" x14ac:dyDescent="0.2">
      <c r="C5" s="114" t="s">
        <v>72</v>
      </c>
      <c r="D5" s="114" t="s">
        <v>102</v>
      </c>
    </row>
    <row r="6" spans="1:5" x14ac:dyDescent="0.2">
      <c r="D6" s="114" t="s">
        <v>30</v>
      </c>
    </row>
    <row r="7" spans="1:5" x14ac:dyDescent="0.2">
      <c r="D7" s="114" t="s">
        <v>322</v>
      </c>
    </row>
    <row r="9" spans="1:5" x14ac:dyDescent="0.2">
      <c r="D9" s="114" t="s">
        <v>31</v>
      </c>
    </row>
    <row r="10" spans="1:5" x14ac:dyDescent="0.2">
      <c r="C10" s="114" t="s">
        <v>323</v>
      </c>
      <c r="D10" s="114" t="s">
        <v>33</v>
      </c>
      <c r="E10" s="114" t="s">
        <v>324</v>
      </c>
    </row>
    <row r="12" spans="1:5" x14ac:dyDescent="0.2">
      <c r="D12" s="114" t="s">
        <v>32</v>
      </c>
    </row>
    <row r="13" spans="1:5" x14ac:dyDescent="0.2">
      <c r="D13" s="114" t="s">
        <v>39</v>
      </c>
    </row>
    <row r="14" spans="1:5" x14ac:dyDescent="0.2">
      <c r="C14" s="114" t="s">
        <v>46</v>
      </c>
      <c r="D14" s="114" t="s">
        <v>34</v>
      </c>
      <c r="E14" s="114" t="s">
        <v>325</v>
      </c>
    </row>
    <row r="16" spans="1:5" x14ac:dyDescent="0.2">
      <c r="D16" s="114" t="s">
        <v>35</v>
      </c>
    </row>
    <row r="17" spans="3:5" x14ac:dyDescent="0.2">
      <c r="C17" s="114" t="s">
        <v>46</v>
      </c>
      <c r="D17" s="114" t="s">
        <v>504</v>
      </c>
      <c r="E17" s="114" t="s">
        <v>326</v>
      </c>
    </row>
    <row r="18" spans="3:5" x14ac:dyDescent="0.2">
      <c r="C18" s="114" t="s">
        <v>327</v>
      </c>
      <c r="D18" s="114" t="s">
        <v>505</v>
      </c>
      <c r="E18" s="114" t="s">
        <v>328</v>
      </c>
    </row>
    <row r="19" spans="3:5" x14ac:dyDescent="0.2">
      <c r="C19" s="114" t="s">
        <v>329</v>
      </c>
      <c r="D19" s="114" t="s">
        <v>506</v>
      </c>
      <c r="E19" s="114" t="s">
        <v>330</v>
      </c>
    </row>
    <row r="20" spans="3:5" x14ac:dyDescent="0.2">
      <c r="C20" s="114" t="s">
        <v>331</v>
      </c>
      <c r="D20" s="114" t="s">
        <v>507</v>
      </c>
      <c r="E20" s="114" t="s">
        <v>332</v>
      </c>
    </row>
    <row r="21" spans="3:5" x14ac:dyDescent="0.2">
      <c r="C21" s="114" t="s">
        <v>333</v>
      </c>
      <c r="D21" s="114" t="s">
        <v>508</v>
      </c>
      <c r="E21" s="114" t="s">
        <v>334</v>
      </c>
    </row>
    <row r="22" spans="3:5" x14ac:dyDescent="0.2">
      <c r="C22" s="114" t="s">
        <v>335</v>
      </c>
      <c r="D22" s="114" t="s">
        <v>509</v>
      </c>
      <c r="E22" s="114" t="s">
        <v>336</v>
      </c>
    </row>
    <row r="23" spans="3:5" x14ac:dyDescent="0.2">
      <c r="C23" s="114" t="s">
        <v>337</v>
      </c>
      <c r="D23" s="114" t="s">
        <v>510</v>
      </c>
      <c r="E23" s="114" t="s">
        <v>338</v>
      </c>
    </row>
    <row r="24" spans="3:5" x14ac:dyDescent="0.2">
      <c r="C24" s="114" t="s">
        <v>339</v>
      </c>
      <c r="D24" s="114" t="s">
        <v>511</v>
      </c>
      <c r="E24" s="114" t="s">
        <v>340</v>
      </c>
    </row>
    <row r="25" spans="3:5" x14ac:dyDescent="0.2">
      <c r="C25" s="114" t="s">
        <v>341</v>
      </c>
      <c r="D25" s="114" t="s">
        <v>512</v>
      </c>
      <c r="E25" s="114" t="s">
        <v>342</v>
      </c>
    </row>
    <row r="26" spans="3:5" x14ac:dyDescent="0.2">
      <c r="D26" s="114" t="s">
        <v>38</v>
      </c>
      <c r="E26" s="114" t="s">
        <v>343</v>
      </c>
    </row>
    <row r="28" spans="3:5" x14ac:dyDescent="0.2">
      <c r="D28" s="114" t="s">
        <v>36</v>
      </c>
    </row>
    <row r="29" spans="3:5" x14ac:dyDescent="0.2">
      <c r="C29" s="114" t="s">
        <v>45</v>
      </c>
      <c r="D29" s="114" t="s">
        <v>513</v>
      </c>
      <c r="E29" s="114" t="s">
        <v>344</v>
      </c>
    </row>
    <row r="30" spans="3:5" x14ac:dyDescent="0.2">
      <c r="C30" s="114" t="s">
        <v>47</v>
      </c>
      <c r="D30" s="114" t="s">
        <v>514</v>
      </c>
      <c r="E30" s="114" t="s">
        <v>345</v>
      </c>
    </row>
    <row r="31" spans="3:5" x14ac:dyDescent="0.2">
      <c r="D31" s="114" t="s">
        <v>37</v>
      </c>
      <c r="E31" s="114" t="s">
        <v>346</v>
      </c>
    </row>
    <row r="33" spans="3:5" x14ac:dyDescent="0.2">
      <c r="D33" s="114" t="s">
        <v>40</v>
      </c>
    </row>
    <row r="34" spans="3:5" x14ac:dyDescent="0.2">
      <c r="C34" s="114" t="s">
        <v>74</v>
      </c>
      <c r="D34" s="114" t="s">
        <v>515</v>
      </c>
      <c r="E34" s="114" t="s">
        <v>347</v>
      </c>
    </row>
    <row r="35" spans="3:5" x14ac:dyDescent="0.2">
      <c r="C35" s="114" t="s">
        <v>75</v>
      </c>
      <c r="D35" s="114" t="s">
        <v>516</v>
      </c>
      <c r="E35" s="114" t="s">
        <v>348</v>
      </c>
    </row>
    <row r="36" spans="3:5" x14ac:dyDescent="0.2">
      <c r="C36" s="114" t="s">
        <v>349</v>
      </c>
      <c r="D36" s="114" t="s">
        <v>517</v>
      </c>
      <c r="E36" s="114" t="s">
        <v>350</v>
      </c>
    </row>
    <row r="37" spans="3:5" x14ac:dyDescent="0.2">
      <c r="D37" s="114" t="s">
        <v>41</v>
      </c>
      <c r="E37" s="114" t="s">
        <v>351</v>
      </c>
    </row>
    <row r="39" spans="3:5" x14ac:dyDescent="0.2">
      <c r="D39" s="114" t="s">
        <v>42</v>
      </c>
      <c r="E39" s="114" t="s">
        <v>352</v>
      </c>
    </row>
    <row r="41" spans="3:5" x14ac:dyDescent="0.2">
      <c r="C41" s="114" t="s">
        <v>353</v>
      </c>
      <c r="D41" s="114" t="s">
        <v>43</v>
      </c>
      <c r="E41" s="114" t="s">
        <v>536</v>
      </c>
    </row>
    <row r="43" spans="3:5" x14ac:dyDescent="0.2">
      <c r="D43" s="114" t="s">
        <v>44</v>
      </c>
      <c r="E43" s="114" t="s">
        <v>354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ColWidth="9.140625" defaultRowHeight="14.25" x14ac:dyDescent="0.25"/>
  <cols>
    <col min="1" max="1" width="9.140625" style="20" hidden="1" customWidth="1"/>
    <col min="2" max="5" width="9.140625" style="20"/>
    <col min="6" max="6" width="24.85546875" style="20" customWidth="1"/>
    <col min="7" max="7" width="14.28515625" style="20" customWidth="1"/>
    <col min="8" max="16384" width="9.140625" style="20"/>
  </cols>
  <sheetData>
    <row r="1" spans="1:9" hidden="1" x14ac:dyDescent="0.25">
      <c r="A1" s="20" t="s">
        <v>538</v>
      </c>
      <c r="F1" s="20" t="s">
        <v>55</v>
      </c>
      <c r="G1" s="20" t="s">
        <v>56</v>
      </c>
      <c r="H1" s="20" t="s">
        <v>73</v>
      </c>
      <c r="I1" s="20" t="s">
        <v>83</v>
      </c>
    </row>
    <row r="4" spans="1:9" ht="15" thickBot="1" x14ac:dyDescent="0.3"/>
    <row r="5" spans="1:9" ht="18" thickBot="1" x14ac:dyDescent="0.35">
      <c r="D5" s="96" t="s">
        <v>49</v>
      </c>
      <c r="E5" s="97"/>
      <c r="F5" s="97"/>
      <c r="G5" s="97"/>
      <c r="H5" s="97"/>
      <c r="I5" s="98"/>
    </row>
    <row r="6" spans="1:9" x14ac:dyDescent="0.25">
      <c r="D6" s="62"/>
      <c r="E6" s="63"/>
      <c r="F6" s="63"/>
      <c r="G6" s="63"/>
      <c r="H6" s="63"/>
      <c r="I6" s="64"/>
    </row>
    <row r="7" spans="1:9" ht="15" thickBot="1" x14ac:dyDescent="0.3">
      <c r="D7" s="62"/>
      <c r="E7" s="63"/>
      <c r="F7" s="65" t="s">
        <v>50</v>
      </c>
      <c r="G7" s="65"/>
      <c r="H7" s="63"/>
      <c r="I7" s="64"/>
    </row>
    <row r="8" spans="1:9" x14ac:dyDescent="0.25">
      <c r="D8" s="62"/>
      <c r="E8" s="63"/>
      <c r="F8" s="63"/>
      <c r="G8" s="63"/>
      <c r="H8" s="63"/>
      <c r="I8" s="64"/>
    </row>
    <row r="9" spans="1:9" x14ac:dyDescent="0.25">
      <c r="A9" s="20" t="s">
        <v>54</v>
      </c>
      <c r="D9" s="62"/>
      <c r="E9" s="63"/>
      <c r="F9" s="66" t="s">
        <v>51</v>
      </c>
      <c r="G9" s="67" t="str">
        <f>"5/1/2019"</f>
        <v>5/1/2019</v>
      </c>
      <c r="H9" s="63"/>
      <c r="I9" s="64" t="s">
        <v>84</v>
      </c>
    </row>
    <row r="10" spans="1:9" x14ac:dyDescent="0.25">
      <c r="A10" s="20" t="s">
        <v>54</v>
      </c>
      <c r="D10" s="62"/>
      <c r="E10" s="63"/>
      <c r="F10" s="66" t="s">
        <v>103</v>
      </c>
      <c r="G10" s="68" t="str">
        <f>"1/1/2019"</f>
        <v>1/1/2019</v>
      </c>
      <c r="H10" s="63"/>
      <c r="I10" s="64" t="s">
        <v>84</v>
      </c>
    </row>
    <row r="11" spans="1:9" x14ac:dyDescent="0.25">
      <c r="A11" s="20" t="s">
        <v>54</v>
      </c>
      <c r="D11" s="62"/>
      <c r="E11" s="63"/>
      <c r="F11" s="66" t="s">
        <v>52</v>
      </c>
      <c r="G11" s="69" t="str">
        <f>"CORPORATE"</f>
        <v>CORPORATE</v>
      </c>
      <c r="H11" s="63" t="str">
        <f>"Lookup"</f>
        <v>Lookup</v>
      </c>
      <c r="I11" s="64"/>
    </row>
    <row r="12" spans="1:9" ht="15" thickBot="1" x14ac:dyDescent="0.3">
      <c r="D12" s="70"/>
      <c r="E12" s="71"/>
      <c r="F12" s="71"/>
      <c r="G12" s="71"/>
      <c r="H12" s="71"/>
      <c r="I12" s="72"/>
    </row>
  </sheetData>
  <mergeCells count="1">
    <mergeCell ref="D5:I5"/>
  </mergeCells>
  <phoneticPr fontId="0" type="noConversion"/>
  <pageMargins left="0.75" right="0.75" top="1" bottom="1" header="0.5" footer="0.5"/>
  <pageSetup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showGridLines="0" zoomScaleNormal="100" workbookViewId="0"/>
  </sheetViews>
  <sheetFormatPr defaultColWidth="9.140625" defaultRowHeight="14.25" x14ac:dyDescent="0.25"/>
  <cols>
    <col min="1" max="1" width="18.140625" style="1" hidden="1" customWidth="1"/>
    <col min="2" max="2" width="13.7109375" style="85" hidden="1" customWidth="1"/>
    <col min="3" max="3" width="16.85546875" style="1" customWidth="1"/>
    <col min="4" max="4" width="12.28515625" style="1" customWidth="1"/>
    <col min="5" max="5" width="22.140625" style="1" customWidth="1"/>
    <col min="6" max="6" width="18.28515625" style="1" customWidth="1"/>
    <col min="7" max="7" width="17.28515625" style="1" customWidth="1"/>
    <col min="8" max="8" width="18.140625" style="1" customWidth="1"/>
    <col min="9" max="9" width="11.7109375" style="1" customWidth="1"/>
    <col min="10" max="16384" width="9.140625" style="1"/>
  </cols>
  <sheetData>
    <row r="1" spans="1:20" hidden="1" x14ac:dyDescent="0.25">
      <c r="A1" s="1" t="s">
        <v>540</v>
      </c>
      <c r="B1" s="85" t="s">
        <v>5</v>
      </c>
    </row>
    <row r="2" spans="1:20" hidden="1" x14ac:dyDescent="0.25">
      <c r="A2" s="1" t="s">
        <v>5</v>
      </c>
      <c r="E2" s="1" t="s">
        <v>4</v>
      </c>
      <c r="F2" s="2">
        <f>DATE(IF(MONTH(G2)&lt;=12,YEAR(G2),YEAR(G2)-1),IF(MONTH(G2)&lt;=12,MONTH(G2)-1,MONTH(G2)-11),DAY(G2))</f>
        <v>43525</v>
      </c>
      <c r="G2" s="2">
        <f>DATE(IF(MONTH(H2)&lt;=12,YEAR(H2),YEAR(H2)-1),IF(MONTH(H2)&lt;=12,MONTH(H2)-1,MONTH(H2)-11),DAY(H2))</f>
        <v>43556</v>
      </c>
      <c r="H2" s="2" t="str">
        <f>StartDate</f>
        <v>5/1/2019</v>
      </c>
      <c r="I2" s="2"/>
      <c r="J2" s="3"/>
    </row>
    <row r="3" spans="1:20" hidden="1" x14ac:dyDescent="0.25">
      <c r="A3" s="1" t="s">
        <v>5</v>
      </c>
      <c r="F3" s="2">
        <f>EOMONTH(F2,0)</f>
        <v>43555</v>
      </c>
      <c r="G3" s="2">
        <f>EOMONTH(G2,0)</f>
        <v>43585</v>
      </c>
      <c r="H3" s="2">
        <f>EOMONTH(H2,0)</f>
        <v>43616</v>
      </c>
      <c r="I3" s="4"/>
    </row>
    <row r="4" spans="1:20" hidden="1" x14ac:dyDescent="0.25">
      <c r="A4" s="1" t="s">
        <v>5</v>
      </c>
      <c r="E4" s="1" t="s">
        <v>3</v>
      </c>
      <c r="F4" s="2" t="str">
        <f>Department</f>
        <v>CORPORATE</v>
      </c>
    </row>
    <row r="5" spans="1:20" s="22" customFormat="1" ht="14.25" hidden="1" customHeight="1" x14ac:dyDescent="0.25">
      <c r="A5" s="1" t="s">
        <v>5</v>
      </c>
      <c r="B5" s="104" t="s">
        <v>78</v>
      </c>
      <c r="C5" s="105"/>
      <c r="D5" s="105"/>
      <c r="E5" s="105"/>
      <c r="F5" s="105"/>
      <c r="G5" s="105"/>
      <c r="H5" s="105"/>
      <c r="I5" s="105"/>
      <c r="J5" s="105"/>
      <c r="K5" s="105"/>
      <c r="L5" s="105"/>
      <c r="M5" s="1"/>
      <c r="N5" s="1"/>
      <c r="O5" s="1"/>
      <c r="P5" s="1"/>
      <c r="Q5" s="1"/>
      <c r="R5" s="1"/>
      <c r="S5" s="1"/>
      <c r="T5" s="1"/>
    </row>
    <row r="6" spans="1:20" ht="14.25" hidden="1" customHeight="1" x14ac:dyDescent="0.25">
      <c r="A6" s="1" t="s">
        <v>5</v>
      </c>
      <c r="B6" s="105"/>
      <c r="C6" s="105"/>
      <c r="D6" s="105"/>
      <c r="E6" s="105"/>
      <c r="F6" s="105"/>
      <c r="G6" s="105"/>
      <c r="H6" s="105"/>
      <c r="I6" s="105"/>
      <c r="J6" s="105"/>
      <c r="K6" s="105"/>
      <c r="L6" s="105"/>
    </row>
    <row r="7" spans="1:20" ht="16.5" x14ac:dyDescent="0.25">
      <c r="B7" s="76"/>
    </row>
    <row r="8" spans="1:20" ht="16.5" x14ac:dyDescent="0.3">
      <c r="B8" s="83"/>
    </row>
    <row r="9" spans="1:20" ht="17.25" x14ac:dyDescent="0.3">
      <c r="E9" s="99" t="str">
        <f>CONCATENATE(Department," - Department Total")</f>
        <v>CORPORATE - Department Total</v>
      </c>
      <c r="F9" s="99"/>
      <c r="G9" s="99"/>
      <c r="H9" s="99"/>
    </row>
    <row r="10" spans="1:20" ht="16.5" x14ac:dyDescent="0.3">
      <c r="E10" s="100" t="str">
        <f>"For the Three Months Ending " &amp; TEXT($H$3,"mmmm dd yyyy")</f>
        <v>For the Three Months Ending May 31 2019</v>
      </c>
      <c r="F10" s="100"/>
      <c r="G10" s="100"/>
      <c r="H10" s="100"/>
    </row>
    <row r="11" spans="1:20" ht="8.1" customHeight="1" x14ac:dyDescent="0.25"/>
    <row r="12" spans="1:20" ht="20.25" x14ac:dyDescent="0.35">
      <c r="E12" s="101" t="s">
        <v>6</v>
      </c>
      <c r="F12" s="102"/>
      <c r="G12" s="102"/>
      <c r="H12" s="103"/>
    </row>
    <row r="13" spans="1:20" ht="8.1" customHeight="1" x14ac:dyDescent="0.25">
      <c r="E13" s="5"/>
      <c r="F13" s="6"/>
      <c r="G13" s="7"/>
      <c r="H13" s="8"/>
    </row>
    <row r="14" spans="1:20" x14ac:dyDescent="0.25">
      <c r="E14" s="9"/>
      <c r="F14" s="10">
        <f>F3</f>
        <v>43555</v>
      </c>
      <c r="G14" s="11">
        <f>G3</f>
        <v>43585</v>
      </c>
      <c r="H14" s="12">
        <f>H3</f>
        <v>43616</v>
      </c>
    </row>
    <row r="15" spans="1:20" ht="18" customHeight="1" x14ac:dyDescent="0.25">
      <c r="B15" s="86" t="s">
        <v>76</v>
      </c>
      <c r="E15" s="13" t="s">
        <v>7</v>
      </c>
      <c r="F15" s="14">
        <f>0</f>
        <v>0</v>
      </c>
      <c r="G15" s="14">
        <f>0</f>
        <v>0</v>
      </c>
      <c r="H15" s="14">
        <f>0</f>
        <v>0</v>
      </c>
    </row>
    <row r="16" spans="1:20" x14ac:dyDescent="0.25">
      <c r="B16" s="86">
        <v>42500</v>
      </c>
      <c r="E16" s="5" t="s">
        <v>8</v>
      </c>
      <c r="F16" s="15">
        <f>0</f>
        <v>0</v>
      </c>
      <c r="G16" s="15">
        <f>0</f>
        <v>0</v>
      </c>
      <c r="H16" s="15">
        <f>0</f>
        <v>0</v>
      </c>
    </row>
    <row r="17" spans="2:22" x14ac:dyDescent="0.25">
      <c r="B17" s="86">
        <v>43500</v>
      </c>
      <c r="E17" s="5" t="s">
        <v>9</v>
      </c>
      <c r="F17" s="15">
        <f>0</f>
        <v>0</v>
      </c>
      <c r="G17" s="15">
        <f>0</f>
        <v>0</v>
      </c>
      <c r="H17" s="15">
        <f>0</f>
        <v>0</v>
      </c>
    </row>
    <row r="18" spans="2:22" x14ac:dyDescent="0.25">
      <c r="B18" s="86">
        <v>44500</v>
      </c>
      <c r="E18" s="5" t="s">
        <v>10</v>
      </c>
      <c r="F18" s="15">
        <f>568053.66</f>
        <v>568053.66</v>
      </c>
      <c r="G18" s="15">
        <f>524825.5</f>
        <v>524825.5</v>
      </c>
      <c r="H18" s="15">
        <f>606033.63</f>
        <v>606033.63</v>
      </c>
    </row>
    <row r="19" spans="2:22" x14ac:dyDescent="0.25">
      <c r="B19" s="86" t="s">
        <v>77</v>
      </c>
      <c r="E19" s="9" t="s">
        <v>0</v>
      </c>
      <c r="F19" s="15">
        <f>-25887.08</f>
        <v>-25887.08</v>
      </c>
      <c r="G19" s="15">
        <f>-35167.82</f>
        <v>-35167.82</v>
      </c>
      <c r="H19" s="15">
        <f>-42625.19</f>
        <v>-42625.19</v>
      </c>
    </row>
    <row r="20" spans="2:22" ht="15" customHeight="1" x14ac:dyDescent="0.25">
      <c r="E20" s="16" t="s">
        <v>1</v>
      </c>
      <c r="F20" s="17">
        <f>SUM(F15:F19)</f>
        <v>542166.58000000007</v>
      </c>
      <c r="G20" s="17">
        <f>SUM(G15:G19)</f>
        <v>489657.68</v>
      </c>
      <c r="H20" s="18">
        <f>SUM(H15:H19)</f>
        <v>563408.43999999994</v>
      </c>
      <c r="I20" s="19">
        <f>SUM(F20:H20)</f>
        <v>1595232.7</v>
      </c>
    </row>
    <row r="21" spans="2:22" x14ac:dyDescent="0.25">
      <c r="U21" s="95"/>
    </row>
    <row r="22" spans="2:22" x14ac:dyDescent="0.25">
      <c r="V22" s="95"/>
    </row>
  </sheetData>
  <mergeCells count="4">
    <mergeCell ref="E9:H9"/>
    <mergeCell ref="E10:H10"/>
    <mergeCell ref="E12:H12"/>
    <mergeCell ref="B5:L6"/>
  </mergeCells>
  <phoneticPr fontId="0" type="noConversion"/>
  <conditionalFormatting sqref="F15:I20">
    <cfRule type="colorScale" priority="1">
      <colorScale>
        <cfvo type="min"/>
        <cfvo type="max"/>
        <color rgb="FFFCFCFF"/>
        <color rgb="FF63BE7B"/>
      </colorScale>
    </cfRule>
  </conditionalFormatting>
  <pageMargins left="0.75" right="0.75" top="1" bottom="1" header="0.5" footer="0.5"/>
  <pageSetup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showGridLines="0" zoomScale="89" zoomScaleNormal="89" workbookViewId="0"/>
  </sheetViews>
  <sheetFormatPr defaultRowHeight="14.25" x14ac:dyDescent="0.25"/>
  <cols>
    <col min="1" max="1" width="14.28515625" style="22" hidden="1" customWidth="1"/>
    <col min="2" max="2" width="9.42578125" style="21" customWidth="1"/>
    <col min="3" max="3" width="22.42578125" style="74" hidden="1" customWidth="1"/>
    <col min="4" max="4" width="31.5703125" style="22" bestFit="1" customWidth="1"/>
    <col min="5" max="7" width="11.7109375" style="22" customWidth="1"/>
    <col min="8" max="8" width="0.85546875" style="22" customWidth="1"/>
    <col min="9" max="11" width="11.7109375" style="22" customWidth="1"/>
    <col min="12" max="12" width="0.85546875" style="22" customWidth="1"/>
    <col min="13" max="13" width="12.28515625" style="22" bestFit="1" customWidth="1"/>
    <col min="14" max="14" width="13.85546875" style="22" bestFit="1" customWidth="1"/>
    <col min="15" max="15" width="12.85546875" style="22" bestFit="1" customWidth="1"/>
    <col min="16" max="16" width="0.85546875" style="22" customWidth="1"/>
    <col min="17" max="19" width="12.7109375" style="22" bestFit="1" customWidth="1"/>
    <col min="20" max="20" width="12.28515625" style="22" bestFit="1" customWidth="1"/>
    <col min="21" max="21" width="10.28515625" style="22" bestFit="1" customWidth="1"/>
    <col min="22" max="16384" width="9.140625" style="22"/>
  </cols>
  <sheetData>
    <row r="1" spans="1:21" hidden="1" x14ac:dyDescent="0.25">
      <c r="A1" s="20" t="s">
        <v>542</v>
      </c>
      <c r="C1" s="74" t="s">
        <v>5</v>
      </c>
    </row>
    <row r="2" spans="1:21" hidden="1" x14ac:dyDescent="0.25">
      <c r="A2" s="22" t="s">
        <v>5</v>
      </c>
      <c r="D2" s="22" t="s">
        <v>4</v>
      </c>
      <c r="E2" s="23">
        <f>DATE(IF(MONTH(F2)&lt;=12,YEAR(F2),YEAR(F2)-1),IF(MONTH(F2)&lt;=12,MONTH(F2)-1,MONTH(F2)-11),DAY(F2))</f>
        <v>43525</v>
      </c>
      <c r="F2" s="24">
        <f>DATE(IF(MONTH(G2)&lt;=12,YEAR(G2),YEAR(G2)-1),IF(MONTH(G2)&lt;=12,MONTH(G2)-1,MONTH(G2)-11),DAY(G2))</f>
        <v>43556</v>
      </c>
      <c r="G2" s="24" t="str">
        <f>StartDate</f>
        <v>5/1/2019</v>
      </c>
      <c r="H2" s="24">
        <f>DATE(IF(MONTH(G2)&lt;12,YEAR(G2),YEAR(G2)+1),IF(MONTH(G2)&lt;12,MONTH(G2)+1,MONTH(G2)-11),DAY(G2))</f>
        <v>43617</v>
      </c>
      <c r="I2" s="25"/>
      <c r="J2" s="25" t="str">
        <f>G2</f>
        <v>5/1/2019</v>
      </c>
      <c r="K2" s="25"/>
      <c r="L2" s="25"/>
      <c r="M2" s="26" t="str">
        <f>YearStartDate</f>
        <v>1/1/2019</v>
      </c>
      <c r="N2" s="25"/>
      <c r="O2" s="25"/>
      <c r="P2" s="25"/>
      <c r="Q2" s="24">
        <f>P3+1</f>
        <v>43252</v>
      </c>
      <c r="R2" s="24">
        <f>Q3+1</f>
        <v>43344</v>
      </c>
      <c r="S2" s="24">
        <f>R3+1</f>
        <v>43435</v>
      </c>
      <c r="T2" s="24">
        <f>S3+1</f>
        <v>43525</v>
      </c>
      <c r="U2" s="24"/>
    </row>
    <row r="3" spans="1:21" hidden="1" x14ac:dyDescent="0.25">
      <c r="A3" s="22" t="s">
        <v>5</v>
      </c>
      <c r="E3" s="24">
        <f>EOMONTH(E2,0)</f>
        <v>43555</v>
      </c>
      <c r="F3" s="24">
        <f>EOMONTH(F2,0)</f>
        <v>43585</v>
      </c>
      <c r="G3" s="24">
        <f>EOMONTH(G2,0)</f>
        <v>43616</v>
      </c>
      <c r="H3" s="25"/>
      <c r="I3" s="25"/>
      <c r="J3" s="25">
        <f>G3</f>
        <v>43616</v>
      </c>
      <c r="K3" s="25"/>
      <c r="L3" s="25"/>
      <c r="M3" s="25">
        <f>G3</f>
        <v>43616</v>
      </c>
      <c r="N3" s="25"/>
      <c r="O3" s="24">
        <f>EOMONTH(P3,-3)</f>
        <v>43159</v>
      </c>
      <c r="P3" s="24">
        <f>EOMONTH(Q3,-3)</f>
        <v>43251</v>
      </c>
      <c r="Q3" s="24">
        <f>EOMONTH(R3,-3)</f>
        <v>43343</v>
      </c>
      <c r="R3" s="24">
        <f>EOMONTH(S3,-3)</f>
        <v>43434</v>
      </c>
      <c r="S3" s="24">
        <f>EOMONTH(T3,-3)</f>
        <v>43524</v>
      </c>
      <c r="T3" s="24">
        <f>G3</f>
        <v>43616</v>
      </c>
      <c r="U3" s="25"/>
    </row>
    <row r="4" spans="1:21" hidden="1" x14ac:dyDescent="0.25">
      <c r="A4" s="22" t="s">
        <v>5</v>
      </c>
      <c r="D4" s="22" t="s">
        <v>3</v>
      </c>
      <c r="E4" s="23" t="str">
        <f>Department</f>
        <v>CORPORATE</v>
      </c>
    </row>
    <row r="5" spans="1:21" ht="14.25" hidden="1" customHeight="1" x14ac:dyDescent="0.25">
      <c r="A5" s="22" t="s">
        <v>5</v>
      </c>
      <c r="C5" s="106" t="s">
        <v>72</v>
      </c>
      <c r="D5" s="106"/>
      <c r="E5" s="106"/>
      <c r="F5" s="106"/>
      <c r="G5" s="106"/>
      <c r="H5" s="106"/>
      <c r="I5" s="106"/>
      <c r="J5" s="106"/>
      <c r="K5" s="106"/>
      <c r="L5" s="106"/>
      <c r="M5" s="106"/>
      <c r="N5" s="106"/>
      <c r="O5" s="106"/>
      <c r="P5" s="106"/>
      <c r="Q5" s="106"/>
      <c r="R5" s="106"/>
      <c r="S5" s="106"/>
      <c r="T5" s="106"/>
    </row>
    <row r="6" spans="1:21" hidden="1" x14ac:dyDescent="0.25">
      <c r="A6" s="22" t="s">
        <v>5</v>
      </c>
      <c r="C6" s="106"/>
      <c r="D6" s="106"/>
      <c r="E6" s="106"/>
      <c r="F6" s="106"/>
      <c r="G6" s="106"/>
      <c r="H6" s="106"/>
      <c r="I6" s="106"/>
      <c r="J6" s="106"/>
      <c r="K6" s="106"/>
      <c r="L6" s="106"/>
      <c r="M6" s="106"/>
      <c r="N6" s="106"/>
      <c r="O6" s="106"/>
      <c r="P6" s="106"/>
      <c r="Q6" s="106"/>
      <c r="R6" s="106"/>
      <c r="S6" s="106"/>
      <c r="T6" s="106"/>
    </row>
    <row r="7" spans="1:21" ht="33" x14ac:dyDescent="0.6">
      <c r="D7" s="107" t="s">
        <v>11</v>
      </c>
      <c r="E7" s="107"/>
      <c r="F7" s="107"/>
      <c r="G7" s="107"/>
      <c r="H7" s="107"/>
      <c r="I7" s="107"/>
      <c r="J7" s="107"/>
      <c r="K7" s="107"/>
      <c r="L7" s="107"/>
      <c r="M7" s="107"/>
      <c r="N7" s="107"/>
      <c r="O7" s="107"/>
      <c r="P7" s="107"/>
      <c r="Q7" s="107"/>
      <c r="R7" s="107"/>
      <c r="S7" s="107"/>
      <c r="T7" s="107"/>
    </row>
    <row r="8" spans="1:21" ht="17.25" x14ac:dyDescent="0.3">
      <c r="D8" s="108" t="str">
        <f>CONCATENATE(Department," - Department Total")</f>
        <v>CORPORATE - Department Total</v>
      </c>
      <c r="E8" s="108"/>
      <c r="F8" s="108"/>
      <c r="G8" s="108"/>
      <c r="H8" s="108"/>
      <c r="I8" s="108"/>
      <c r="J8" s="108"/>
      <c r="K8" s="108"/>
      <c r="L8" s="108"/>
      <c r="M8" s="108"/>
      <c r="N8" s="108"/>
      <c r="O8" s="108"/>
      <c r="P8" s="108"/>
      <c r="Q8" s="108"/>
      <c r="R8" s="108"/>
      <c r="S8" s="108"/>
      <c r="T8" s="108"/>
    </row>
    <row r="9" spans="1:21" ht="16.5" x14ac:dyDescent="0.3">
      <c r="D9" s="109" t="str">
        <f>"For the Month Ending " &amp; TEXT($G$3,"mmmm dd yyyy")</f>
        <v>For the Month Ending May 31 2019</v>
      </c>
      <c r="E9" s="109"/>
      <c r="F9" s="109"/>
      <c r="G9" s="109"/>
      <c r="H9" s="109"/>
      <c r="I9" s="109"/>
      <c r="J9" s="109"/>
      <c r="K9" s="109"/>
      <c r="L9" s="109"/>
      <c r="M9" s="109"/>
      <c r="N9" s="109"/>
      <c r="O9" s="109"/>
      <c r="P9" s="109"/>
      <c r="Q9" s="109"/>
      <c r="R9" s="109"/>
      <c r="S9" s="109"/>
      <c r="T9" s="109"/>
    </row>
    <row r="10" spans="1:21" ht="8.1" customHeight="1" x14ac:dyDescent="0.25"/>
    <row r="11" spans="1:21" ht="16.5" x14ac:dyDescent="0.3">
      <c r="D11" s="27"/>
      <c r="E11" s="110" t="s">
        <v>6</v>
      </c>
      <c r="F11" s="111"/>
      <c r="G11" s="112"/>
      <c r="H11" s="28"/>
      <c r="I11" s="110" t="str">
        <f>CONCATENATE("Current Month - ",TEXT(G3,"mmmm"))</f>
        <v>Current Month - May</v>
      </c>
      <c r="J11" s="111"/>
      <c r="K11" s="112"/>
      <c r="L11" s="28"/>
      <c r="M11" s="110" t="str">
        <f>CONCATENATE("Year-to-Date - ",TEXT(M3,"mmmm"))</f>
        <v>Year-to-Date - May</v>
      </c>
      <c r="N11" s="111"/>
      <c r="O11" s="112"/>
      <c r="P11" s="28"/>
      <c r="Q11" s="110" t="s">
        <v>29</v>
      </c>
      <c r="R11" s="111"/>
      <c r="S11" s="111"/>
      <c r="T11" s="112"/>
    </row>
    <row r="12" spans="1:21" ht="8.1" customHeight="1" x14ac:dyDescent="0.3">
      <c r="D12" s="27"/>
      <c r="E12" s="27"/>
      <c r="F12" s="27"/>
      <c r="G12" s="27"/>
      <c r="H12" s="27"/>
      <c r="I12" s="27"/>
      <c r="J12" s="27"/>
      <c r="K12" s="27"/>
      <c r="L12" s="27"/>
      <c r="M12" s="27"/>
      <c r="N12" s="27"/>
      <c r="O12" s="27"/>
      <c r="P12" s="27"/>
      <c r="Q12" s="27"/>
      <c r="R12" s="27"/>
      <c r="S12" s="27"/>
      <c r="T12" s="27"/>
    </row>
    <row r="13" spans="1:21" ht="16.5" x14ac:dyDescent="0.3">
      <c r="D13" s="27"/>
      <c r="E13" s="29">
        <f>E3</f>
        <v>43555</v>
      </c>
      <c r="F13" s="29">
        <f>F3</f>
        <v>43585</v>
      </c>
      <c r="G13" s="29">
        <f>G3</f>
        <v>43616</v>
      </c>
      <c r="H13" s="27"/>
      <c r="I13" s="29" t="s">
        <v>26</v>
      </c>
      <c r="J13" s="29" t="s">
        <v>27</v>
      </c>
      <c r="K13" s="29" t="s">
        <v>28</v>
      </c>
      <c r="L13" s="27"/>
      <c r="M13" s="29" t="s">
        <v>26</v>
      </c>
      <c r="N13" s="29" t="s">
        <v>27</v>
      </c>
      <c r="O13" s="29" t="s">
        <v>28</v>
      </c>
      <c r="P13" s="27"/>
      <c r="Q13" s="29" t="str">
        <f>CONCATENATE(TEXT(Q2,"mmm"),"-",TEXT(Q3,"mmm"))</f>
        <v>Jun-Aug</v>
      </c>
      <c r="R13" s="29" t="str">
        <f>CONCATENATE(TEXT(R2,"mmm"),"-",TEXT(R3,"mmm"))</f>
        <v>Sep-Nov</v>
      </c>
      <c r="S13" s="29" t="str">
        <f>CONCATENATE(TEXT(S2,"mmm"),"-",TEXT(S3,"mmm"))</f>
        <v>Dec-Feb</v>
      </c>
      <c r="T13" s="29" t="str">
        <f>CONCATENATE(TEXT(T2,"mmm"),"-",TEXT(T3,"mmm"))</f>
        <v>Mar-May</v>
      </c>
    </row>
    <row r="14" spans="1:21" ht="20.100000000000001" customHeight="1" x14ac:dyDescent="0.3">
      <c r="D14" s="30" t="s">
        <v>2</v>
      </c>
      <c r="E14" s="27"/>
      <c r="F14" s="27"/>
      <c r="G14" s="27"/>
      <c r="H14" s="27"/>
      <c r="I14" s="27"/>
      <c r="J14" s="27"/>
      <c r="K14" s="27"/>
      <c r="L14" s="27"/>
      <c r="M14" s="27"/>
      <c r="N14" s="27"/>
      <c r="O14" s="27"/>
      <c r="P14" s="27"/>
      <c r="Q14" s="27"/>
      <c r="R14" s="27"/>
      <c r="S14" s="27"/>
      <c r="T14" s="27"/>
    </row>
    <row r="15" spans="1:21" ht="16.5" x14ac:dyDescent="0.3">
      <c r="C15" s="74">
        <v>44100</v>
      </c>
      <c r="D15" s="27" t="str">
        <f>"Sales, Retail - North America"</f>
        <v>Sales, Retail - North America</v>
      </c>
      <c r="E15" s="31">
        <f>375624.54</f>
        <v>375624.54</v>
      </c>
      <c r="F15" s="31">
        <f>350064.84</f>
        <v>350064.84</v>
      </c>
      <c r="G15" s="31">
        <f>417327.49</f>
        <v>417327.49</v>
      </c>
      <c r="H15" s="27"/>
      <c r="I15" s="31">
        <f>G15</f>
        <v>417327.49</v>
      </c>
      <c r="J15" s="31">
        <f>399047.44</f>
        <v>399047.44</v>
      </c>
      <c r="K15" s="31">
        <f>I15-J15</f>
        <v>18280.049999999988</v>
      </c>
      <c r="L15" s="27"/>
      <c r="M15" s="31">
        <f>1916362.38</f>
        <v>1916362.38</v>
      </c>
      <c r="N15" s="31">
        <f>1859897.3</f>
        <v>1859897.3</v>
      </c>
      <c r="O15" s="31">
        <f>M15-N15</f>
        <v>56465.079999999842</v>
      </c>
      <c r="P15" s="27"/>
      <c r="Q15" s="31">
        <f>1005095.77</f>
        <v>1005095.77</v>
      </c>
      <c r="R15" s="31">
        <f>1049820.1</f>
        <v>1049820.1000000001</v>
      </c>
      <c r="S15" s="31">
        <f>1120470.09</f>
        <v>1120470.0900000001</v>
      </c>
      <c r="T15" s="31">
        <f>1143016.87</f>
        <v>1143016.8700000001</v>
      </c>
    </row>
    <row r="16" spans="1:21" ht="16.5" x14ac:dyDescent="0.3">
      <c r="C16" s="74">
        <v>44200</v>
      </c>
      <c r="D16" s="27" t="str">
        <f>"Sales, Retail - EU"</f>
        <v>Sales, Retail - EU</v>
      </c>
      <c r="E16" s="32">
        <f>192429.12</f>
        <v>192429.12</v>
      </c>
      <c r="F16" s="32">
        <f>174760.66</f>
        <v>174760.66</v>
      </c>
      <c r="G16" s="32">
        <f>188706.14</f>
        <v>188706.14</v>
      </c>
      <c r="H16" s="27"/>
      <c r="I16" s="32">
        <f>G16</f>
        <v>188706.14</v>
      </c>
      <c r="J16" s="32">
        <f>190346.71</f>
        <v>190346.71</v>
      </c>
      <c r="K16" s="32">
        <f>I16-J16</f>
        <v>-1640.5699999999779</v>
      </c>
      <c r="L16" s="27"/>
      <c r="M16" s="32">
        <f>901889.72</f>
        <v>901889.72</v>
      </c>
      <c r="N16" s="32">
        <f>834134.8</f>
        <v>834134.8</v>
      </c>
      <c r="O16" s="32">
        <f>M16-N16</f>
        <v>67754.919999999925</v>
      </c>
      <c r="P16" s="27"/>
      <c r="Q16" s="32">
        <f>387422.28</f>
        <v>387422.28</v>
      </c>
      <c r="R16" s="32">
        <f>452678.62</f>
        <v>452678.62</v>
      </c>
      <c r="S16" s="32">
        <f>507015.84</f>
        <v>507015.84</v>
      </c>
      <c r="T16" s="32">
        <f>555895.92</f>
        <v>555895.92000000004</v>
      </c>
    </row>
    <row r="17" spans="2:20" ht="16.5" x14ac:dyDescent="0.3">
      <c r="C17" s="74">
        <v>45100</v>
      </c>
      <c r="D17" s="27" t="str">
        <f>"Discounts, Retail - North Amer"</f>
        <v>Discounts, Retail - North Amer</v>
      </c>
      <c r="E17" s="32">
        <f>-15665.56</f>
        <v>-15665.56</v>
      </c>
      <c r="F17" s="32">
        <f>-25436.1</f>
        <v>-25436.1</v>
      </c>
      <c r="G17" s="32">
        <f>-33541.42</f>
        <v>-33541.42</v>
      </c>
      <c r="H17" s="27"/>
      <c r="I17" s="32">
        <f>G17</f>
        <v>-33541.42</v>
      </c>
      <c r="J17" s="32">
        <f>-34485.75</f>
        <v>-34485.75</v>
      </c>
      <c r="K17" s="32">
        <f>I17-J17</f>
        <v>944.33000000000175</v>
      </c>
      <c r="L17" s="27"/>
      <c r="M17" s="32">
        <f>-103842.23</f>
        <v>-103842.23</v>
      </c>
      <c r="N17" s="32">
        <f>-100851.33</f>
        <v>-100851.33</v>
      </c>
      <c r="O17" s="32">
        <f>M17-N17</f>
        <v>-2990.8999999999942</v>
      </c>
      <c r="P17" s="27"/>
      <c r="Q17" s="32">
        <f>-32130.81</f>
        <v>-32130.81</v>
      </c>
      <c r="R17" s="32">
        <f>-37670.32</f>
        <v>-37670.32</v>
      </c>
      <c r="S17" s="32">
        <f>-41107.47</f>
        <v>-41107.47</v>
      </c>
      <c r="T17" s="32">
        <f>-74643.08</f>
        <v>-74643.08</v>
      </c>
    </row>
    <row r="18" spans="2:20" ht="16.5" x14ac:dyDescent="0.3">
      <c r="C18" s="74">
        <v>45200</v>
      </c>
      <c r="D18" s="27" t="str">
        <f>"Discounts, Retail - EU"</f>
        <v>Discounts, Retail - EU</v>
      </c>
      <c r="E18" s="32">
        <f>-10221.52</f>
        <v>-10221.52</v>
      </c>
      <c r="F18" s="32">
        <f>-9731.72</f>
        <v>-9731.7199999999993</v>
      </c>
      <c r="G18" s="32">
        <f>-9083.77</f>
        <v>-9083.77</v>
      </c>
      <c r="H18" s="27"/>
      <c r="I18" s="32">
        <f>G18</f>
        <v>-9083.77</v>
      </c>
      <c r="J18" s="32">
        <f>-8791.66</f>
        <v>-8791.66</v>
      </c>
      <c r="K18" s="32">
        <f>I18-J18</f>
        <v>-292.11000000000058</v>
      </c>
      <c r="L18" s="27"/>
      <c r="M18" s="32">
        <f>-45005.89</f>
        <v>-45005.89</v>
      </c>
      <c r="N18" s="32">
        <f>-41878.59</f>
        <v>-41878.589999999997</v>
      </c>
      <c r="O18" s="32">
        <f>M18-N18</f>
        <v>-3127.3000000000029</v>
      </c>
      <c r="P18" s="27"/>
      <c r="Q18" s="32">
        <f>-13815.47</f>
        <v>-13815.47</v>
      </c>
      <c r="R18" s="32">
        <f>-17546.12</f>
        <v>-17546.12</v>
      </c>
      <c r="S18" s="32">
        <f>-22962.86</f>
        <v>-22962.86</v>
      </c>
      <c r="T18" s="32">
        <f>-29037.01</f>
        <v>-29037.01</v>
      </c>
    </row>
    <row r="19" spans="2:20" ht="16.5" x14ac:dyDescent="0.3">
      <c r="D19" s="33" t="s">
        <v>1</v>
      </c>
      <c r="E19" s="34">
        <f>SUM(E14:E18)</f>
        <v>542166.57999999984</v>
      </c>
      <c r="F19" s="34">
        <f>SUM(F14:F18)</f>
        <v>489657.68000000005</v>
      </c>
      <c r="G19" s="34">
        <f>SUM(G14:G18)</f>
        <v>563408.43999999994</v>
      </c>
      <c r="H19" s="27"/>
      <c r="I19" s="34">
        <f>SUM(I14:I18)</f>
        <v>563408.43999999994</v>
      </c>
      <c r="J19" s="34">
        <f>SUM(J14:J18)</f>
        <v>546116.74</v>
      </c>
      <c r="K19" s="34">
        <f>SUM(K14:K18)</f>
        <v>17291.700000000012</v>
      </c>
      <c r="L19" s="27"/>
      <c r="M19" s="34">
        <f>SUM(M14:M18)</f>
        <v>2669403.9799999995</v>
      </c>
      <c r="N19" s="34">
        <f>SUM(N14:N18)</f>
        <v>2551302.1800000002</v>
      </c>
      <c r="O19" s="34">
        <f>SUM(O14:O18)</f>
        <v>118101.79999999977</v>
      </c>
      <c r="P19" s="27"/>
      <c r="Q19" s="34">
        <f>SUM(Q14:Q18)</f>
        <v>1346571.77</v>
      </c>
      <c r="R19" s="34">
        <f>SUM(R14:R18)</f>
        <v>1447282.28</v>
      </c>
      <c r="S19" s="34">
        <f>SUM(S14:S18)</f>
        <v>1563415.6</v>
      </c>
      <c r="T19" s="34">
        <f>SUM(T14:T18)</f>
        <v>1595232.7</v>
      </c>
    </row>
    <row r="20" spans="2:20" ht="16.5" x14ac:dyDescent="0.3">
      <c r="D20" s="33"/>
      <c r="E20" s="84"/>
      <c r="F20" s="84"/>
      <c r="G20" s="84"/>
      <c r="H20" s="27"/>
      <c r="I20" s="84"/>
      <c r="J20" s="84"/>
      <c r="K20" s="84"/>
      <c r="L20" s="27"/>
      <c r="M20" s="84"/>
      <c r="N20" s="84"/>
      <c r="O20" s="84"/>
      <c r="P20" s="27"/>
      <c r="Q20" s="84"/>
      <c r="R20" s="84"/>
      <c r="S20" s="84"/>
      <c r="T20" s="84"/>
    </row>
    <row r="21" spans="2:20" ht="16.5" x14ac:dyDescent="0.3">
      <c r="D21" s="30" t="s">
        <v>12</v>
      </c>
      <c r="E21" s="27"/>
      <c r="F21" s="27"/>
      <c r="G21" s="27"/>
      <c r="H21" s="27"/>
      <c r="I21" s="27"/>
      <c r="J21" s="27"/>
      <c r="K21" s="27"/>
      <c r="L21" s="27"/>
      <c r="M21" s="27"/>
      <c r="N21" s="27"/>
      <c r="O21" s="27"/>
      <c r="P21" s="27"/>
      <c r="Q21" s="27"/>
      <c r="R21" s="27"/>
      <c r="S21" s="27"/>
      <c r="T21" s="27"/>
    </row>
    <row r="22" spans="2:20" ht="16.5" x14ac:dyDescent="0.3">
      <c r="C22" s="75" t="s">
        <v>64</v>
      </c>
      <c r="D22" s="27" t="str">
        <f>"Cost of Goods Sold"</f>
        <v>Cost of Goods Sold</v>
      </c>
      <c r="E22" s="32">
        <f>306135.28</f>
        <v>306135.28000000003</v>
      </c>
      <c r="F22" s="32">
        <f>276126.33</f>
        <v>276126.33</v>
      </c>
      <c r="G22" s="32">
        <f>317557.83</f>
        <v>317557.83</v>
      </c>
      <c r="H22" s="27"/>
      <c r="I22" s="32">
        <f>G22</f>
        <v>317557.83</v>
      </c>
      <c r="J22" s="32">
        <f>300901.48</f>
        <v>300901.48</v>
      </c>
      <c r="K22" s="32">
        <f>J22-I22</f>
        <v>-16656.350000000035</v>
      </c>
      <c r="L22" s="27"/>
      <c r="M22" s="32">
        <f>1498497.2</f>
        <v>1498497.2</v>
      </c>
      <c r="N22" s="32">
        <f>1382567.16</f>
        <v>1382567.16</v>
      </c>
      <c r="O22" s="32">
        <f>N22-M22</f>
        <v>-115930.04000000004</v>
      </c>
      <c r="P22" s="27"/>
      <c r="Q22" s="32">
        <f>754142.11</f>
        <v>754142.11</v>
      </c>
      <c r="R22" s="32">
        <f>806210.09</f>
        <v>806210.09</v>
      </c>
      <c r="S22" s="32">
        <f>867003.64</f>
        <v>867003.64</v>
      </c>
      <c r="T22" s="32">
        <f>899819.44</f>
        <v>899819.44</v>
      </c>
    </row>
    <row r="23" spans="2:20" ht="16.5" x14ac:dyDescent="0.3">
      <c r="C23" s="74">
        <v>54100</v>
      </c>
      <c r="D23" s="27" t="str">
        <f>"Purchases"</f>
        <v>Purchases</v>
      </c>
      <c r="E23" s="32">
        <f>0</f>
        <v>0</v>
      </c>
      <c r="F23" s="32">
        <f>0</f>
        <v>0</v>
      </c>
      <c r="G23" s="32">
        <f>0</f>
        <v>0</v>
      </c>
      <c r="H23" s="27"/>
      <c r="I23" s="32">
        <f>G23</f>
        <v>0</v>
      </c>
      <c r="J23" s="32">
        <f>0</f>
        <v>0</v>
      </c>
      <c r="K23" s="32">
        <f>J23-I23</f>
        <v>0</v>
      </c>
      <c r="L23" s="27"/>
      <c r="M23" s="32">
        <f>0</f>
        <v>0</v>
      </c>
      <c r="N23" s="32">
        <f>0</f>
        <v>0</v>
      </c>
      <c r="O23" s="32">
        <f>N23-M23</f>
        <v>0</v>
      </c>
      <c r="P23" s="27"/>
      <c r="Q23" s="32">
        <f>0</f>
        <v>0</v>
      </c>
      <c r="R23" s="32">
        <f>0</f>
        <v>0</v>
      </c>
      <c r="S23" s="32">
        <f>0</f>
        <v>0</v>
      </c>
      <c r="T23" s="32">
        <f>0</f>
        <v>0</v>
      </c>
    </row>
    <row r="24" spans="2:20" ht="16.5" x14ac:dyDescent="0.3">
      <c r="C24" s="74">
        <v>54400</v>
      </c>
      <c r="D24" s="27" t="str">
        <f>"Discounts Received"</f>
        <v>Discounts Received</v>
      </c>
      <c r="E24" s="32">
        <f>0</f>
        <v>0</v>
      </c>
      <c r="F24" s="32">
        <f>0</f>
        <v>0</v>
      </c>
      <c r="G24" s="32">
        <f>0</f>
        <v>0</v>
      </c>
      <c r="H24" s="27"/>
      <c r="I24" s="32">
        <f>G24</f>
        <v>0</v>
      </c>
      <c r="J24" s="32">
        <f>0</f>
        <v>0</v>
      </c>
      <c r="K24" s="32">
        <f>J24-I24</f>
        <v>0</v>
      </c>
      <c r="L24" s="27"/>
      <c r="M24" s="32">
        <f>0</f>
        <v>0</v>
      </c>
      <c r="N24" s="32">
        <f>0</f>
        <v>0</v>
      </c>
      <c r="O24" s="32">
        <f>N24-M24</f>
        <v>0</v>
      </c>
      <c r="P24" s="27"/>
      <c r="Q24" s="32">
        <f>0</f>
        <v>0</v>
      </c>
      <c r="R24" s="32">
        <f>0</f>
        <v>0</v>
      </c>
      <c r="S24" s="32">
        <f>0</f>
        <v>0</v>
      </c>
      <c r="T24" s="32">
        <f>0</f>
        <v>0</v>
      </c>
    </row>
    <row r="25" spans="2:20" ht="16.5" x14ac:dyDescent="0.3">
      <c r="C25" s="74">
        <v>54500</v>
      </c>
      <c r="D25" s="27" t="str">
        <f>"Inventory Adjustment"</f>
        <v>Inventory Adjustment</v>
      </c>
      <c r="E25" s="32">
        <f>0</f>
        <v>0</v>
      </c>
      <c r="F25" s="32">
        <f>0</f>
        <v>0</v>
      </c>
      <c r="G25" s="32">
        <f>0</f>
        <v>0</v>
      </c>
      <c r="H25" s="27"/>
      <c r="I25" s="32">
        <f>G25</f>
        <v>0</v>
      </c>
      <c r="J25" s="32">
        <f>0</f>
        <v>0</v>
      </c>
      <c r="K25" s="32">
        <f>J25-I25</f>
        <v>0</v>
      </c>
      <c r="L25" s="27"/>
      <c r="M25" s="32">
        <f>0</f>
        <v>0</v>
      </c>
      <c r="N25" s="32">
        <f>0</f>
        <v>0</v>
      </c>
      <c r="O25" s="32">
        <f>N25-M25</f>
        <v>0</v>
      </c>
      <c r="P25" s="27"/>
      <c r="Q25" s="32">
        <f>0</f>
        <v>0</v>
      </c>
      <c r="R25" s="32">
        <f>0</f>
        <v>0</v>
      </c>
      <c r="S25" s="32">
        <f>0</f>
        <v>0</v>
      </c>
      <c r="T25" s="32">
        <f>0</f>
        <v>0</v>
      </c>
    </row>
    <row r="26" spans="2:20" ht="16.5" x14ac:dyDescent="0.3">
      <c r="B26" s="22"/>
      <c r="C26" s="74">
        <v>54702</v>
      </c>
      <c r="D26" s="27" t="str">
        <f>"Overhead Applied"</f>
        <v>Overhead Applied</v>
      </c>
      <c r="E26" s="32">
        <f>0</f>
        <v>0</v>
      </c>
      <c r="F26" s="32">
        <f>0</f>
        <v>0</v>
      </c>
      <c r="G26" s="32">
        <f>0</f>
        <v>0</v>
      </c>
      <c r="H26" s="27"/>
      <c r="I26" s="32">
        <f>G26</f>
        <v>0</v>
      </c>
      <c r="J26" s="32">
        <f>0</f>
        <v>0</v>
      </c>
      <c r="K26" s="32">
        <f>J26-I26</f>
        <v>0</v>
      </c>
      <c r="L26" s="27"/>
      <c r="M26" s="32">
        <f>0</f>
        <v>0</v>
      </c>
      <c r="N26" s="32">
        <f>0</f>
        <v>0</v>
      </c>
      <c r="O26" s="32">
        <f>N26-M26</f>
        <v>0</v>
      </c>
      <c r="P26" s="27"/>
      <c r="Q26" s="32">
        <f>0</f>
        <v>0</v>
      </c>
      <c r="R26" s="32">
        <f>0</f>
        <v>0</v>
      </c>
      <c r="S26" s="32">
        <f>0</f>
        <v>0</v>
      </c>
      <c r="T26" s="32">
        <f>0</f>
        <v>0</v>
      </c>
    </row>
    <row r="27" spans="2:20" ht="16.5" x14ac:dyDescent="0.3">
      <c r="B27" s="22"/>
      <c r="C27" s="74">
        <v>54703</v>
      </c>
      <c r="D27" s="27" t="str">
        <f>"Purchase Variance"</f>
        <v>Purchase Variance</v>
      </c>
      <c r="E27" s="32"/>
      <c r="F27" s="32"/>
      <c r="G27" s="32"/>
      <c r="H27" s="27"/>
      <c r="I27" s="32"/>
      <c r="J27" s="32"/>
      <c r="K27" s="32"/>
      <c r="L27" s="27"/>
      <c r="M27" s="32"/>
      <c r="N27" s="32"/>
      <c r="O27" s="32"/>
      <c r="P27" s="27"/>
      <c r="Q27" s="32"/>
      <c r="R27" s="32"/>
      <c r="S27" s="32"/>
      <c r="T27" s="32"/>
    </row>
    <row r="28" spans="2:20" ht="16.5" x14ac:dyDescent="0.3">
      <c r="B28" s="22"/>
      <c r="C28" s="74">
        <v>54710</v>
      </c>
      <c r="D28" s="27" t="str">
        <f>"Capacity Cost Applied"</f>
        <v>Capacity Cost Applied</v>
      </c>
      <c r="E28" s="32"/>
      <c r="F28" s="32"/>
      <c r="G28" s="32"/>
      <c r="H28" s="27"/>
      <c r="I28" s="32"/>
      <c r="J28" s="32"/>
      <c r="K28" s="32"/>
      <c r="L28" s="27"/>
      <c r="M28" s="32"/>
      <c r="N28" s="32"/>
      <c r="O28" s="32"/>
      <c r="P28" s="27"/>
      <c r="Q28" s="32"/>
      <c r="R28" s="32"/>
      <c r="S28" s="32"/>
      <c r="T28" s="32"/>
    </row>
    <row r="29" spans="2:20" ht="16.5" x14ac:dyDescent="0.3">
      <c r="B29" s="22"/>
      <c r="C29" s="74">
        <v>54800</v>
      </c>
      <c r="D29" s="27" t="str">
        <f>"Payment Discounts Granted"</f>
        <v>Payment Discounts Granted</v>
      </c>
      <c r="E29" s="32"/>
      <c r="F29" s="32"/>
      <c r="G29" s="32"/>
      <c r="H29" s="27"/>
      <c r="I29" s="32"/>
      <c r="J29" s="32"/>
      <c r="K29" s="32"/>
      <c r="L29" s="27"/>
      <c r="M29" s="32"/>
      <c r="N29" s="32"/>
      <c r="O29" s="32"/>
      <c r="P29" s="27"/>
      <c r="Q29" s="32"/>
      <c r="R29" s="32"/>
      <c r="S29" s="32"/>
      <c r="T29" s="32"/>
    </row>
    <row r="30" spans="2:20" ht="16.5" x14ac:dyDescent="0.3">
      <c r="B30" s="22"/>
      <c r="D30" s="33" t="s">
        <v>13</v>
      </c>
      <c r="E30" s="34">
        <f>SUM(E21:E26)</f>
        <v>306135.28000000003</v>
      </c>
      <c r="F30" s="34">
        <f>SUM(F21:F26)</f>
        <v>276126.33</v>
      </c>
      <c r="G30" s="34">
        <f>SUM(G21:G26)</f>
        <v>317557.83</v>
      </c>
      <c r="H30" s="27"/>
      <c r="I30" s="34">
        <f>SUM(I21:I26)</f>
        <v>317557.83</v>
      </c>
      <c r="J30" s="34">
        <f>SUM(J21:J26)</f>
        <v>300901.48</v>
      </c>
      <c r="K30" s="34">
        <f>SUM(K21:K26)</f>
        <v>-16656.350000000035</v>
      </c>
      <c r="L30" s="27"/>
      <c r="M30" s="34">
        <f>SUM(M21:M26)</f>
        <v>1498497.2</v>
      </c>
      <c r="N30" s="34">
        <f>SUM(N21:N26)</f>
        <v>1382567.16</v>
      </c>
      <c r="O30" s="34">
        <f>SUM(O21:O26)</f>
        <v>-115930.04000000004</v>
      </c>
      <c r="P30" s="27"/>
      <c r="Q30" s="34">
        <f>SUM(Q21:Q26)</f>
        <v>754142.11</v>
      </c>
      <c r="R30" s="34">
        <f>SUM(R21:R26)</f>
        <v>806210.09</v>
      </c>
      <c r="S30" s="34">
        <f>SUM(S21:S26)</f>
        <v>867003.64</v>
      </c>
      <c r="T30" s="34">
        <f>SUM(T21:T26)</f>
        <v>899819.44</v>
      </c>
    </row>
    <row r="31" spans="2:20" ht="16.5" x14ac:dyDescent="0.3">
      <c r="B31" s="22"/>
      <c r="D31" s="33"/>
      <c r="E31" s="34"/>
      <c r="F31" s="34"/>
      <c r="G31" s="34"/>
      <c r="H31" s="27"/>
      <c r="I31" s="34"/>
      <c r="J31" s="34"/>
      <c r="K31" s="34"/>
      <c r="L31" s="27"/>
      <c r="M31" s="34"/>
      <c r="N31" s="34"/>
      <c r="O31" s="34"/>
      <c r="P31" s="27"/>
      <c r="Q31" s="34"/>
      <c r="R31" s="34"/>
      <c r="S31" s="34"/>
      <c r="T31" s="34"/>
    </row>
    <row r="32" spans="2:20" ht="20.100000000000001" customHeight="1" x14ac:dyDescent="0.3">
      <c r="B32" s="22"/>
      <c r="D32" s="30" t="s">
        <v>14</v>
      </c>
      <c r="E32" s="34">
        <f>E19-E30</f>
        <v>236031.29999999981</v>
      </c>
      <c r="F32" s="34">
        <f>F19-F30</f>
        <v>213531.35000000003</v>
      </c>
      <c r="G32" s="34">
        <f>G19-G30</f>
        <v>245850.60999999993</v>
      </c>
      <c r="H32" s="27"/>
      <c r="I32" s="34">
        <f>I19-I30</f>
        <v>245850.60999999993</v>
      </c>
      <c r="J32" s="34">
        <f>J19-J30</f>
        <v>245215.26</v>
      </c>
      <c r="K32" s="34">
        <f>I32-J32</f>
        <v>635.34999999991851</v>
      </c>
      <c r="L32" s="27"/>
      <c r="M32" s="34">
        <f>M19-M30</f>
        <v>1170906.7799999996</v>
      </c>
      <c r="N32" s="34">
        <f>N19-N30</f>
        <v>1168735.0200000003</v>
      </c>
      <c r="O32" s="34">
        <f>M32-N32</f>
        <v>2171.7599999993108</v>
      </c>
      <c r="P32" s="27"/>
      <c r="Q32" s="34">
        <f>Q19-Q30</f>
        <v>592429.66</v>
      </c>
      <c r="R32" s="34">
        <f>R19-R30</f>
        <v>641072.19000000006</v>
      </c>
      <c r="S32" s="34">
        <f>S19-S30</f>
        <v>696411.96000000008</v>
      </c>
      <c r="T32" s="34">
        <f>T19-T30</f>
        <v>695413.26</v>
      </c>
    </row>
    <row r="33" spans="2:20" ht="16.5" x14ac:dyDescent="0.3">
      <c r="B33" s="22"/>
      <c r="D33" s="30"/>
      <c r="E33" s="84"/>
      <c r="F33" s="84"/>
      <c r="G33" s="84"/>
      <c r="H33" s="27"/>
      <c r="I33" s="84"/>
      <c r="J33" s="84"/>
      <c r="K33" s="84"/>
      <c r="L33" s="27"/>
      <c r="M33" s="84"/>
      <c r="N33" s="84"/>
      <c r="O33" s="84"/>
      <c r="P33" s="27"/>
      <c r="Q33" s="84"/>
      <c r="R33" s="84"/>
      <c r="S33" s="84"/>
      <c r="T33" s="84"/>
    </row>
    <row r="34" spans="2:20" ht="20.100000000000001" customHeight="1" x14ac:dyDescent="0.3">
      <c r="B34" s="22"/>
      <c r="D34" s="30" t="s">
        <v>15</v>
      </c>
      <c r="E34" s="27"/>
      <c r="F34" s="27"/>
      <c r="G34" s="27"/>
      <c r="H34" s="27"/>
      <c r="I34" s="27"/>
      <c r="J34" s="27"/>
      <c r="K34" s="27"/>
      <c r="L34" s="27"/>
      <c r="M34" s="27"/>
      <c r="N34" s="27"/>
      <c r="O34" s="27"/>
      <c r="P34" s="27"/>
      <c r="Q34" s="27"/>
      <c r="R34" s="27"/>
      <c r="S34" s="27"/>
      <c r="T34" s="27"/>
    </row>
    <row r="35" spans="2:20" ht="16.5" x14ac:dyDescent="0.3">
      <c r="B35" s="22"/>
      <c r="C35" s="75" t="s">
        <v>65</v>
      </c>
      <c r="D35" s="27" t="s">
        <v>16</v>
      </c>
      <c r="E35" s="32">
        <f>57839.71</f>
        <v>57839.71</v>
      </c>
      <c r="F35" s="32">
        <f>48733.46</f>
        <v>48733.46</v>
      </c>
      <c r="G35" s="32">
        <f>52510.12</f>
        <v>52510.12</v>
      </c>
      <c r="H35" s="27"/>
      <c r="I35" s="32">
        <f>G35</f>
        <v>52510.12</v>
      </c>
      <c r="J35" s="32">
        <f>51294.11</f>
        <v>51294.11</v>
      </c>
      <c r="K35" s="32">
        <f>I35-J35</f>
        <v>1216.010000000002</v>
      </c>
      <c r="L35" s="27"/>
      <c r="M35" s="32">
        <f>251823.59</f>
        <v>251823.59</v>
      </c>
      <c r="N35" s="32">
        <f>227588.54</f>
        <v>227588.54</v>
      </c>
      <c r="O35" s="32">
        <f>M35-N35</f>
        <v>24235.049999999988</v>
      </c>
      <c r="P35" s="27"/>
      <c r="Q35" s="32">
        <f>115148.42</f>
        <v>115148.42</v>
      </c>
      <c r="R35" s="32">
        <f>108112.49</f>
        <v>108112.49</v>
      </c>
      <c r="S35" s="32">
        <f>136641.2</f>
        <v>136641.20000000001</v>
      </c>
      <c r="T35" s="32">
        <f>159083.29</f>
        <v>159083.29</v>
      </c>
    </row>
    <row r="36" spans="2:20" ht="16.5" x14ac:dyDescent="0.3">
      <c r="B36" s="22"/>
      <c r="C36" s="75" t="s">
        <v>66</v>
      </c>
      <c r="D36" s="27" t="s">
        <v>17</v>
      </c>
      <c r="E36" s="32">
        <f>0</f>
        <v>0</v>
      </c>
      <c r="F36" s="32">
        <f>0</f>
        <v>0</v>
      </c>
      <c r="G36" s="32">
        <f>0</f>
        <v>0</v>
      </c>
      <c r="H36" s="27"/>
      <c r="I36" s="32">
        <f>G36</f>
        <v>0</v>
      </c>
      <c r="J36" s="32">
        <f>0</f>
        <v>0</v>
      </c>
      <c r="K36" s="32">
        <f>I36-J36</f>
        <v>0</v>
      </c>
      <c r="L36" s="27"/>
      <c r="M36" s="32">
        <f>0</f>
        <v>0</v>
      </c>
      <c r="N36" s="32">
        <f>0</f>
        <v>0</v>
      </c>
      <c r="O36" s="32">
        <f>M36-N36</f>
        <v>0</v>
      </c>
      <c r="P36" s="27"/>
      <c r="Q36" s="32">
        <f>0</f>
        <v>0</v>
      </c>
      <c r="R36" s="32">
        <f>0</f>
        <v>0</v>
      </c>
      <c r="S36" s="32">
        <f>0</f>
        <v>0</v>
      </c>
      <c r="T36" s="32">
        <f>0</f>
        <v>0</v>
      </c>
    </row>
    <row r="37" spans="2:20" ht="16.5" x14ac:dyDescent="0.3">
      <c r="B37" s="22"/>
      <c r="C37" s="75">
        <v>63500</v>
      </c>
      <c r="D37" s="27" t="s">
        <v>18</v>
      </c>
      <c r="E37" s="32">
        <f>0</f>
        <v>0</v>
      </c>
      <c r="F37" s="32">
        <f>0</f>
        <v>0</v>
      </c>
      <c r="G37" s="32">
        <f>0</f>
        <v>0</v>
      </c>
      <c r="H37" s="27"/>
      <c r="I37" s="32">
        <f>G37</f>
        <v>0</v>
      </c>
      <c r="J37" s="32">
        <f>0</f>
        <v>0</v>
      </c>
      <c r="K37" s="32">
        <f>I37-J37</f>
        <v>0</v>
      </c>
      <c r="L37" s="27"/>
      <c r="M37" s="32">
        <f>0</f>
        <v>0</v>
      </c>
      <c r="N37" s="32">
        <f>0</f>
        <v>0</v>
      </c>
      <c r="O37" s="32">
        <f>M37-N37</f>
        <v>0</v>
      </c>
      <c r="P37" s="27"/>
      <c r="Q37" s="32">
        <f>0</f>
        <v>0</v>
      </c>
      <c r="R37" s="32">
        <f>0</f>
        <v>0</v>
      </c>
      <c r="S37" s="32">
        <f>0</f>
        <v>0</v>
      </c>
      <c r="T37" s="32">
        <f>0</f>
        <v>0</v>
      </c>
    </row>
    <row r="38" spans="2:20" ht="16.5" x14ac:dyDescent="0.3">
      <c r="B38" s="22"/>
      <c r="C38" s="75" t="s">
        <v>67</v>
      </c>
      <c r="D38" s="27" t="s">
        <v>19</v>
      </c>
      <c r="E38" s="32">
        <f>0</f>
        <v>0</v>
      </c>
      <c r="F38" s="32">
        <f>0</f>
        <v>0</v>
      </c>
      <c r="G38" s="32">
        <f>0</f>
        <v>0</v>
      </c>
      <c r="H38" s="27"/>
      <c r="I38" s="32">
        <f>G38</f>
        <v>0</v>
      </c>
      <c r="J38" s="32">
        <f>0</f>
        <v>0</v>
      </c>
      <c r="K38" s="32">
        <f>I38-J38</f>
        <v>0</v>
      </c>
      <c r="L38" s="27"/>
      <c r="M38" s="32">
        <f>0</f>
        <v>0</v>
      </c>
      <c r="N38" s="32">
        <f>0</f>
        <v>0</v>
      </c>
      <c r="O38" s="32">
        <f>M38-N38</f>
        <v>0</v>
      </c>
      <c r="P38" s="27"/>
      <c r="Q38" s="32">
        <f>0</f>
        <v>0</v>
      </c>
      <c r="R38" s="32">
        <f>0</f>
        <v>0</v>
      </c>
      <c r="S38" s="32">
        <f>0</f>
        <v>0</v>
      </c>
      <c r="T38" s="32">
        <f>0</f>
        <v>0</v>
      </c>
    </row>
    <row r="39" spans="2:20" ht="16.5" x14ac:dyDescent="0.3">
      <c r="B39" s="22"/>
      <c r="C39" s="75" t="s">
        <v>68</v>
      </c>
      <c r="D39" s="27" t="s">
        <v>20</v>
      </c>
      <c r="E39" s="32">
        <f>0</f>
        <v>0</v>
      </c>
      <c r="F39" s="32">
        <f>0</f>
        <v>0</v>
      </c>
      <c r="G39" s="32">
        <f>0</f>
        <v>0</v>
      </c>
      <c r="H39" s="27"/>
      <c r="I39" s="32">
        <f>G39</f>
        <v>0</v>
      </c>
      <c r="J39" s="32">
        <f>0</f>
        <v>0</v>
      </c>
      <c r="K39" s="32">
        <f>I39-J39</f>
        <v>0</v>
      </c>
      <c r="L39" s="27"/>
      <c r="M39" s="32">
        <f>0</f>
        <v>0</v>
      </c>
      <c r="N39" s="32">
        <f>0</f>
        <v>0</v>
      </c>
      <c r="O39" s="32">
        <f>M39-N39</f>
        <v>0</v>
      </c>
      <c r="P39" s="27"/>
      <c r="Q39" s="32">
        <f>0</f>
        <v>0</v>
      </c>
      <c r="R39" s="32">
        <f>0</f>
        <v>0</v>
      </c>
      <c r="S39" s="32">
        <f>0</f>
        <v>0</v>
      </c>
      <c r="T39" s="32">
        <f>0</f>
        <v>0</v>
      </c>
    </row>
    <row r="40" spans="2:20" ht="16.5" x14ac:dyDescent="0.3">
      <c r="B40" s="22"/>
      <c r="C40" s="75" t="s">
        <v>69</v>
      </c>
      <c r="D40" s="27" t="s">
        <v>21</v>
      </c>
      <c r="E40" s="32">
        <f>0</f>
        <v>0</v>
      </c>
      <c r="F40" s="32">
        <f>0</f>
        <v>0</v>
      </c>
      <c r="G40" s="32">
        <f>0</f>
        <v>0</v>
      </c>
      <c r="H40" s="27"/>
      <c r="I40" s="32">
        <f>G40</f>
        <v>0</v>
      </c>
      <c r="J40" s="32">
        <f>0</f>
        <v>0</v>
      </c>
      <c r="K40" s="32">
        <f>I40-J40</f>
        <v>0</v>
      </c>
      <c r="L40" s="27"/>
      <c r="M40" s="32">
        <f>0</f>
        <v>0</v>
      </c>
      <c r="N40" s="32">
        <f>0</f>
        <v>0</v>
      </c>
      <c r="O40" s="32">
        <f>M40-N40</f>
        <v>0</v>
      </c>
      <c r="P40" s="27"/>
      <c r="Q40" s="32">
        <f>0</f>
        <v>0</v>
      </c>
      <c r="R40" s="32">
        <f>0</f>
        <v>0</v>
      </c>
      <c r="S40" s="32">
        <f>0</f>
        <v>0</v>
      </c>
      <c r="T40" s="32">
        <f>0</f>
        <v>0</v>
      </c>
    </row>
    <row r="41" spans="2:20" ht="16.5" x14ac:dyDescent="0.3">
      <c r="B41" s="22"/>
      <c r="C41" s="75" t="s">
        <v>70</v>
      </c>
      <c r="D41" s="27" t="s">
        <v>22</v>
      </c>
      <c r="E41" s="32">
        <f>0</f>
        <v>0</v>
      </c>
      <c r="F41" s="32">
        <f>0</f>
        <v>0</v>
      </c>
      <c r="G41" s="32">
        <f>0</f>
        <v>0</v>
      </c>
      <c r="H41" s="27"/>
      <c r="I41" s="32">
        <f>G41</f>
        <v>0</v>
      </c>
      <c r="J41" s="32">
        <f>0</f>
        <v>0</v>
      </c>
      <c r="K41" s="32">
        <f>I41-J41</f>
        <v>0</v>
      </c>
      <c r="L41" s="27"/>
      <c r="M41" s="32">
        <f>0</f>
        <v>0</v>
      </c>
      <c r="N41" s="32">
        <f>0</f>
        <v>0</v>
      </c>
      <c r="O41" s="32">
        <f>M41-N41</f>
        <v>0</v>
      </c>
      <c r="P41" s="27"/>
      <c r="Q41" s="32">
        <f>0</f>
        <v>0</v>
      </c>
      <c r="R41" s="32">
        <f>0</f>
        <v>0</v>
      </c>
      <c r="S41" s="32">
        <f>0</f>
        <v>0</v>
      </c>
      <c r="T41" s="32">
        <f>0</f>
        <v>0</v>
      </c>
    </row>
    <row r="42" spans="2:20" ht="16.5" x14ac:dyDescent="0.3">
      <c r="B42" s="22"/>
      <c r="C42" s="75" t="s">
        <v>71</v>
      </c>
      <c r="D42" s="27" t="s">
        <v>23</v>
      </c>
      <c r="E42" s="32">
        <f>0</f>
        <v>0</v>
      </c>
      <c r="F42" s="32">
        <f>0</f>
        <v>0</v>
      </c>
      <c r="G42" s="32">
        <f>0</f>
        <v>0</v>
      </c>
      <c r="H42" s="27"/>
      <c r="I42" s="32">
        <f>G42</f>
        <v>0</v>
      </c>
      <c r="J42" s="32">
        <f>0</f>
        <v>0</v>
      </c>
      <c r="K42" s="32">
        <f>I42-J42</f>
        <v>0</v>
      </c>
      <c r="L42" s="27"/>
      <c r="M42" s="32">
        <f>0</f>
        <v>0</v>
      </c>
      <c r="N42" s="32">
        <f>0</f>
        <v>0</v>
      </c>
      <c r="O42" s="32">
        <f>M42-N42</f>
        <v>0</v>
      </c>
      <c r="P42" s="27"/>
      <c r="Q42" s="32">
        <f>0</f>
        <v>0</v>
      </c>
      <c r="R42" s="32">
        <f>0</f>
        <v>0</v>
      </c>
      <c r="S42" s="32">
        <f>0</f>
        <v>0</v>
      </c>
      <c r="T42" s="32">
        <f>0</f>
        <v>0</v>
      </c>
    </row>
    <row r="43" spans="2:20" ht="15" customHeight="1" x14ac:dyDescent="0.3">
      <c r="C43" s="75"/>
      <c r="D43" s="27"/>
      <c r="E43" s="34">
        <f>SUM(E34:E42)</f>
        <v>57839.71</v>
      </c>
      <c r="F43" s="34">
        <f>SUM(F34:F42)</f>
        <v>48733.46</v>
      </c>
      <c r="G43" s="34">
        <f>SUM(G34:G42)</f>
        <v>52510.12</v>
      </c>
      <c r="H43" s="27"/>
      <c r="I43" s="34">
        <f>SUM(I34:I42)</f>
        <v>52510.12</v>
      </c>
      <c r="J43" s="34">
        <f>SUM(J34:J42)</f>
        <v>51294.11</v>
      </c>
      <c r="K43" s="34">
        <f>SUM(K34:K42)</f>
        <v>1216.010000000002</v>
      </c>
      <c r="L43" s="27"/>
      <c r="M43" s="34">
        <f>SUM(M34:M42)</f>
        <v>251823.59</v>
      </c>
      <c r="N43" s="34">
        <f>SUM(N34:N42)</f>
        <v>227588.54</v>
      </c>
      <c r="O43" s="34">
        <f>SUM(O34:O42)</f>
        <v>24235.049999999988</v>
      </c>
      <c r="P43" s="27"/>
      <c r="Q43" s="34">
        <f>SUM(Q34:Q42)</f>
        <v>115148.42</v>
      </c>
      <c r="R43" s="34">
        <f>SUM(R34:R42)</f>
        <v>108112.49</v>
      </c>
      <c r="S43" s="34">
        <f>SUM(S34:S42)</f>
        <v>136641.20000000001</v>
      </c>
      <c r="T43" s="34">
        <f>SUM(T34:T42)</f>
        <v>159083.29</v>
      </c>
    </row>
    <row r="44" spans="2:20" ht="20.100000000000001" customHeight="1" thickBot="1" x14ac:dyDescent="0.35">
      <c r="D44" s="30" t="s">
        <v>24</v>
      </c>
      <c r="E44" s="35">
        <f>E32-E43</f>
        <v>178191.58999999982</v>
      </c>
      <c r="F44" s="35">
        <f>F32-F43</f>
        <v>164797.89000000004</v>
      </c>
      <c r="G44" s="35">
        <f>G32-G43</f>
        <v>193340.48999999993</v>
      </c>
      <c r="H44" s="27"/>
      <c r="I44" s="35">
        <f>I32-I43</f>
        <v>193340.48999999993</v>
      </c>
      <c r="J44" s="35">
        <f>J32-J43</f>
        <v>193921.15000000002</v>
      </c>
      <c r="K44" s="35">
        <f>I44-J44</f>
        <v>-580.6600000000908</v>
      </c>
      <c r="L44" s="27"/>
      <c r="M44" s="35">
        <f>M32-M43</f>
        <v>919083.18999999959</v>
      </c>
      <c r="N44" s="35">
        <f>N32-N43</f>
        <v>941146.48000000021</v>
      </c>
      <c r="O44" s="35">
        <f>M44-N44</f>
        <v>-22063.290000000619</v>
      </c>
      <c r="P44" s="27"/>
      <c r="Q44" s="35">
        <f>Q32-Q43</f>
        <v>477281.24000000005</v>
      </c>
      <c r="R44" s="35">
        <f>R32-R43</f>
        <v>532959.70000000007</v>
      </c>
      <c r="S44" s="35">
        <f>S32-S43</f>
        <v>559770.76</v>
      </c>
      <c r="T44" s="35">
        <f>T32-T43</f>
        <v>536329.97</v>
      </c>
    </row>
    <row r="45" spans="2:20" ht="20.100000000000001" customHeight="1" thickTop="1" x14ac:dyDescent="0.3">
      <c r="D45" s="27" t="s">
        <v>25</v>
      </c>
      <c r="E45" s="36">
        <f>E44/E19</f>
        <v>0.32866575804063741</v>
      </c>
      <c r="F45" s="36">
        <f>F44/F19</f>
        <v>0.33655734757392147</v>
      </c>
      <c r="G45" s="36">
        <f>G44/G19</f>
        <v>0.34316221815917408</v>
      </c>
      <c r="H45" s="27"/>
      <c r="I45" s="36">
        <f>I44/I19</f>
        <v>0.34316221815917408</v>
      </c>
      <c r="J45" s="36">
        <f>J44/J19</f>
        <v>0.35509101955014238</v>
      </c>
      <c r="K45" s="36"/>
      <c r="L45" s="27"/>
      <c r="M45" s="36">
        <f>M44/M19</f>
        <v>0.34430277203677495</v>
      </c>
      <c r="N45" s="36">
        <f>N44/N19</f>
        <v>0.36888867472374448</v>
      </c>
      <c r="O45" s="36"/>
      <c r="P45" s="27"/>
      <c r="Q45" s="37">
        <f>IF(Q19=0,"-",Q44/Q19)</f>
        <v>0.35444173911354165</v>
      </c>
      <c r="R45" s="37">
        <f>IF(R19=0,"-",R44/R19)</f>
        <v>0.3682486183690441</v>
      </c>
      <c r="S45" s="36">
        <f>S44/S19</f>
        <v>0.35804347865020664</v>
      </c>
      <c r="T45" s="36">
        <f>T44/T19</f>
        <v>0.33620798395118151</v>
      </c>
    </row>
  </sheetData>
  <mergeCells count="8">
    <mergeCell ref="C5:T6"/>
    <mergeCell ref="D7:T7"/>
    <mergeCell ref="D8:T8"/>
    <mergeCell ref="D9:T9"/>
    <mergeCell ref="E11:G11"/>
    <mergeCell ref="I11:K11"/>
    <mergeCell ref="M11:O11"/>
    <mergeCell ref="Q11:T11"/>
  </mergeCells>
  <phoneticPr fontId="0" type="noConversion"/>
  <pageMargins left="0.75" right="0.75" top="1" bottom="1" header="0.5" footer="0.5"/>
  <pageSetup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zoomScale="90" workbookViewId="0"/>
  </sheetViews>
  <sheetFormatPr defaultRowHeight="14.25" x14ac:dyDescent="0.25"/>
  <cols>
    <col min="1" max="1" width="9.140625" style="22" hidden="1" customWidth="1"/>
    <col min="2" max="16384" width="9.140625" style="22"/>
  </cols>
  <sheetData>
    <row r="1" spans="1:1" hidden="1" x14ac:dyDescent="0.25">
      <c r="A1" s="20" t="s">
        <v>53</v>
      </c>
    </row>
    <row r="2" spans="1:1" x14ac:dyDescent="0.25">
      <c r="A2" s="20"/>
    </row>
    <row r="3" spans="1:1" x14ac:dyDescent="0.25">
      <c r="A3" s="20"/>
    </row>
    <row r="4" spans="1:1" x14ac:dyDescent="0.25">
      <c r="A4" s="20"/>
    </row>
    <row r="5" spans="1:1" x14ac:dyDescent="0.25">
      <c r="A5" s="20"/>
    </row>
  </sheetData>
  <phoneticPr fontId="0" type="noConversion"/>
  <pageMargins left="0.75" right="0.75" top="1" bottom="1" header="0.5" footer="0.5"/>
  <pageSetup scale="8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showGridLines="0" topLeftCell="B2" zoomScale="75" zoomScaleNormal="75" workbookViewId="0"/>
  </sheetViews>
  <sheetFormatPr defaultColWidth="9.140625" defaultRowHeight="14.25" x14ac:dyDescent="0.25"/>
  <cols>
    <col min="1" max="1" width="9.140625" style="20" hidden="1" customWidth="1"/>
    <col min="2" max="2" width="9.140625" style="20" customWidth="1"/>
    <col min="3" max="3" width="30" style="38" hidden="1" customWidth="1"/>
    <col min="4" max="4" width="56.7109375" style="20" bestFit="1" customWidth="1"/>
    <col min="5" max="5" width="16.140625" style="39" bestFit="1" customWidth="1"/>
    <col min="6" max="16384" width="9.140625" style="20"/>
  </cols>
  <sheetData>
    <row r="1" spans="1:5" hidden="1" x14ac:dyDescent="0.25">
      <c r="A1" s="20" t="s">
        <v>544</v>
      </c>
      <c r="C1" s="77" t="s">
        <v>5</v>
      </c>
      <c r="D1" s="20" t="s">
        <v>48</v>
      </c>
      <c r="E1" s="39" t="s">
        <v>48</v>
      </c>
    </row>
    <row r="2" spans="1:5" x14ac:dyDescent="0.25">
      <c r="C2" s="77"/>
    </row>
    <row r="3" spans="1:5" ht="17.25" x14ac:dyDescent="0.3">
      <c r="C3" s="77"/>
      <c r="D3" s="40"/>
      <c r="E3" s="41"/>
    </row>
    <row r="4" spans="1:5" ht="18" thickBot="1" x14ac:dyDescent="0.35">
      <c r="C4" s="78"/>
      <c r="D4" s="40"/>
      <c r="E4" s="41"/>
    </row>
    <row r="5" spans="1:5" ht="82.5" x14ac:dyDescent="0.5">
      <c r="C5" s="73" t="s">
        <v>72</v>
      </c>
      <c r="D5" s="42" t="s">
        <v>102</v>
      </c>
      <c r="E5" s="41"/>
    </row>
    <row r="6" spans="1:5" ht="26.25" customHeight="1" x14ac:dyDescent="0.5">
      <c r="C6" s="77"/>
      <c r="D6" s="43" t="s">
        <v>30</v>
      </c>
      <c r="E6" s="41"/>
    </row>
    <row r="7" spans="1:5" ht="21.75" customHeight="1" thickBot="1" x14ac:dyDescent="0.35">
      <c r="C7" s="77"/>
      <c r="D7" s="44" t="str">
        <f>"For the "&amp;TEXT(MONTH('Dept Sales Trend'!H3)-MONTH(YearStartDate)+1,"#")&amp;" Months Ending "&amp;TEXT('Dept Sales Trend'!H3,"mmmm dd yyyy")</f>
        <v>For the 5 Months Ending May 31 2019</v>
      </c>
      <c r="E7" s="41"/>
    </row>
    <row r="8" spans="1:5" ht="17.25" x14ac:dyDescent="0.3">
      <c r="C8" s="77"/>
      <c r="D8" s="45"/>
      <c r="E8" s="46"/>
    </row>
    <row r="9" spans="1:5" ht="17.25" x14ac:dyDescent="0.3">
      <c r="C9" s="79"/>
      <c r="D9" s="47" t="s">
        <v>31</v>
      </c>
      <c r="E9" s="48"/>
    </row>
    <row r="10" spans="1:5" ht="17.25" x14ac:dyDescent="0.3">
      <c r="C10" s="79">
        <v>99999</v>
      </c>
      <c r="D10" s="49" t="s">
        <v>33</v>
      </c>
      <c r="E10" s="48">
        <f>482522.85</f>
        <v>482522.85</v>
      </c>
    </row>
    <row r="11" spans="1:5" ht="17.25" x14ac:dyDescent="0.3">
      <c r="C11" s="79"/>
      <c r="D11" s="50"/>
      <c r="E11" s="48"/>
    </row>
    <row r="12" spans="1:5" ht="17.25" x14ac:dyDescent="0.3">
      <c r="C12" s="79"/>
      <c r="D12" s="49" t="s">
        <v>32</v>
      </c>
      <c r="E12" s="48"/>
    </row>
    <row r="13" spans="1:5" ht="17.25" x14ac:dyDescent="0.3">
      <c r="C13" s="79"/>
      <c r="D13" s="51" t="s">
        <v>39</v>
      </c>
      <c r="E13" s="48"/>
    </row>
    <row r="14" spans="1:5" ht="17.25" x14ac:dyDescent="0.3">
      <c r="C14" s="80" t="s">
        <v>46</v>
      </c>
      <c r="D14" s="52" t="s">
        <v>34</v>
      </c>
      <c r="E14" s="48">
        <f>0</f>
        <v>0</v>
      </c>
    </row>
    <row r="15" spans="1:5" ht="17.25" x14ac:dyDescent="0.3">
      <c r="C15" s="79"/>
      <c r="D15" s="50"/>
      <c r="E15" s="48"/>
    </row>
    <row r="16" spans="1:5" ht="17.25" x14ac:dyDescent="0.3">
      <c r="C16" s="79"/>
      <c r="D16" s="49" t="s">
        <v>35</v>
      </c>
      <c r="E16" s="48"/>
    </row>
    <row r="17" spans="3:5" ht="17.25" x14ac:dyDescent="0.3">
      <c r="C17" s="81" t="s">
        <v>46</v>
      </c>
      <c r="D17" s="52" t="str">
        <f>"Accum. Depreciation, Vehicles"</f>
        <v>Accum. Depreciation, Vehicles</v>
      </c>
      <c r="E17" s="48">
        <f>0</f>
        <v>0</v>
      </c>
    </row>
    <row r="18" spans="3:5" ht="17.25" x14ac:dyDescent="0.3">
      <c r="C18" s="82">
        <v>12300</v>
      </c>
      <c r="D18" s="52" t="str">
        <f>"Securities, Total"</f>
        <v>Securities, Total</v>
      </c>
      <c r="E18" s="48">
        <f>0</f>
        <v>0</v>
      </c>
    </row>
    <row r="19" spans="3:5" ht="17.25" x14ac:dyDescent="0.3">
      <c r="C19" s="82">
        <v>13400</v>
      </c>
      <c r="D19" s="52" t="str">
        <f>"Accounts Receivable, Total"</f>
        <v>Accounts Receivable, Total</v>
      </c>
      <c r="E19" s="48">
        <f>-5096355.75</f>
        <v>-5096355.75</v>
      </c>
    </row>
    <row r="20" spans="3:5" ht="17.25" x14ac:dyDescent="0.3">
      <c r="C20" s="82">
        <v>14500</v>
      </c>
      <c r="D20" s="52" t="str">
        <f>"Inventory, Total"</f>
        <v>Inventory, Total</v>
      </c>
      <c r="E20" s="48">
        <f>-754306.02</f>
        <v>-754306.02</v>
      </c>
    </row>
    <row r="21" spans="3:5" ht="17.25" x14ac:dyDescent="0.3">
      <c r="C21" s="82">
        <v>13540</v>
      </c>
      <c r="D21" s="52" t="str">
        <f>"Purchase Prepayments, Total"</f>
        <v>Purchase Prepayments, Total</v>
      </c>
      <c r="E21" s="48">
        <f>0</f>
        <v>0</v>
      </c>
    </row>
    <row r="22" spans="3:5" ht="17.25" x14ac:dyDescent="0.3">
      <c r="C22" s="82">
        <v>22500</v>
      </c>
      <c r="D22" s="52" t="str">
        <f>"Accounts Payable, Total"</f>
        <v>Accounts Payable, Total</v>
      </c>
      <c r="E22" s="48">
        <f>7436760.57</f>
        <v>7436760.5700000003</v>
      </c>
    </row>
    <row r="23" spans="3:5" ht="17.25" x14ac:dyDescent="0.3">
      <c r="C23" s="82">
        <v>22100</v>
      </c>
      <c r="D23" s="52" t="str">
        <f>"Revolving Credit"</f>
        <v>Revolving Credit</v>
      </c>
      <c r="E23" s="48">
        <f>0</f>
        <v>0</v>
      </c>
    </row>
    <row r="24" spans="3:5" ht="17.25" x14ac:dyDescent="0.3">
      <c r="C24" s="82">
        <v>23900</v>
      </c>
      <c r="D24" s="52" t="str">
        <f>"Total Personnel-related Items"</f>
        <v>Total Personnel-related Items</v>
      </c>
      <c r="E24" s="48">
        <f>0</f>
        <v>0</v>
      </c>
    </row>
    <row r="25" spans="3:5" ht="17.25" x14ac:dyDescent="0.3">
      <c r="C25" s="82">
        <v>24400</v>
      </c>
      <c r="D25" s="52" t="str">
        <f>"Other Liabilities, Total"</f>
        <v>Other Liabilities, Total</v>
      </c>
      <c r="E25" s="48">
        <f>0</f>
        <v>0</v>
      </c>
    </row>
    <row r="26" spans="3:5" ht="17.25" x14ac:dyDescent="0.3">
      <c r="C26" s="79"/>
      <c r="D26" s="54" t="s">
        <v>38</v>
      </c>
      <c r="E26" s="55">
        <f>SUM(E9:E25)</f>
        <v>2068621.6500000004</v>
      </c>
    </row>
    <row r="27" spans="3:5" ht="17.25" x14ac:dyDescent="0.3">
      <c r="C27" s="79"/>
      <c r="D27" s="50"/>
      <c r="E27" s="48"/>
    </row>
    <row r="28" spans="3:5" ht="17.25" x14ac:dyDescent="0.3">
      <c r="C28" s="79"/>
      <c r="D28" s="56" t="s">
        <v>36</v>
      </c>
      <c r="E28" s="48"/>
    </row>
    <row r="29" spans="3:5" ht="17.25" x14ac:dyDescent="0.3">
      <c r="C29" s="81" t="s">
        <v>45</v>
      </c>
      <c r="D29" s="52" t="str">
        <f>"Land and Buildings"</f>
        <v>Land and Buildings</v>
      </c>
      <c r="E29" s="48">
        <f>0</f>
        <v>0</v>
      </c>
    </row>
    <row r="30" spans="3:5" ht="17.25" x14ac:dyDescent="0.3">
      <c r="C30" s="81" t="s">
        <v>47</v>
      </c>
      <c r="D30" s="52" t="str">
        <f>"Vehicles"</f>
        <v>Vehicles</v>
      </c>
      <c r="E30" s="48">
        <f>0</f>
        <v>0</v>
      </c>
    </row>
    <row r="31" spans="3:5" ht="15" customHeight="1" x14ac:dyDescent="0.3">
      <c r="C31" s="79"/>
      <c r="D31" s="54" t="s">
        <v>37</v>
      </c>
      <c r="E31" s="55">
        <f>SUM(E28:E30)</f>
        <v>0</v>
      </c>
    </row>
    <row r="32" spans="3:5" ht="17.25" x14ac:dyDescent="0.3">
      <c r="C32" s="79"/>
      <c r="D32" s="50"/>
      <c r="E32" s="48"/>
    </row>
    <row r="33" spans="3:5" ht="17.25" x14ac:dyDescent="0.3">
      <c r="C33" s="79"/>
      <c r="D33" s="47" t="s">
        <v>40</v>
      </c>
      <c r="E33" s="48"/>
    </row>
    <row r="34" spans="3:5" ht="17.25" x14ac:dyDescent="0.3">
      <c r="C34" s="81" t="s">
        <v>74</v>
      </c>
      <c r="D34" s="52" t="str">
        <f>"Long-term Liabilities"</f>
        <v>Long-term Liabilities</v>
      </c>
      <c r="E34" s="48">
        <f>0</f>
        <v>0</v>
      </c>
    </row>
    <row r="35" spans="3:5" ht="17.25" x14ac:dyDescent="0.3">
      <c r="C35" s="81" t="s">
        <v>75</v>
      </c>
      <c r="D35" s="52" t="str">
        <f>"Capital Stock"</f>
        <v>Capital Stock</v>
      </c>
      <c r="E35" s="48">
        <f>0</f>
        <v>0</v>
      </c>
    </row>
    <row r="36" spans="3:5" ht="17.25" x14ac:dyDescent="0.3">
      <c r="C36" s="81">
        <v>30200</v>
      </c>
      <c r="D36" s="52" t="str">
        <f>"Retained Earnings"</f>
        <v>Retained Earnings</v>
      </c>
      <c r="E36" s="48">
        <f>0</f>
        <v>0</v>
      </c>
    </row>
    <row r="37" spans="3:5" ht="15" customHeight="1" x14ac:dyDescent="0.3">
      <c r="C37" s="79"/>
      <c r="D37" s="54" t="s">
        <v>41</v>
      </c>
      <c r="E37" s="55">
        <f>SUM(E33:E36)</f>
        <v>0</v>
      </c>
    </row>
    <row r="38" spans="3:5" ht="17.25" x14ac:dyDescent="0.3">
      <c r="C38" s="79"/>
      <c r="D38" s="50"/>
      <c r="E38" s="48"/>
    </row>
    <row r="39" spans="3:5" ht="17.25" x14ac:dyDescent="0.3">
      <c r="C39" s="79"/>
      <c r="D39" s="56" t="s">
        <v>42</v>
      </c>
      <c r="E39" s="57">
        <f>E26+E31+E37</f>
        <v>2068621.6500000004</v>
      </c>
    </row>
    <row r="40" spans="3:5" ht="17.25" x14ac:dyDescent="0.3">
      <c r="C40" s="79"/>
      <c r="D40" s="50"/>
      <c r="E40" s="48"/>
    </row>
    <row r="41" spans="3:5" ht="17.25" x14ac:dyDescent="0.3">
      <c r="C41" s="79">
        <v>11700</v>
      </c>
      <c r="D41" s="53" t="s">
        <v>43</v>
      </c>
      <c r="E41" s="58">
        <v>11933999.199999999</v>
      </c>
    </row>
    <row r="42" spans="3:5" ht="17.25" x14ac:dyDescent="0.3">
      <c r="C42" s="79"/>
      <c r="D42" s="50"/>
      <c r="E42" s="48"/>
    </row>
    <row r="43" spans="3:5" ht="18" thickBot="1" x14ac:dyDescent="0.35">
      <c r="C43" s="79"/>
      <c r="D43" s="47" t="s">
        <v>44</v>
      </c>
      <c r="E43" s="59">
        <f>E39+E41</f>
        <v>14002620.85</v>
      </c>
    </row>
    <row r="44" spans="3:5" ht="15.75" thickTop="1" thickBot="1" x14ac:dyDescent="0.3">
      <c r="C44" s="77"/>
      <c r="D44" s="60"/>
      <c r="E44" s="61"/>
    </row>
  </sheetData>
  <phoneticPr fontId="0" type="noConversion"/>
  <pageMargins left="0.75" right="0.75" top="1" bottom="1" header="0.5" footer="0.5"/>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RowHeight="12.75" x14ac:dyDescent="0.2"/>
  <sheetData>
    <row r="1" spans="1:9" x14ac:dyDescent="0.2">
      <c r="A1" s="114" t="s">
        <v>533</v>
      </c>
      <c r="F1" s="114" t="s">
        <v>55</v>
      </c>
      <c r="G1" s="114" t="s">
        <v>56</v>
      </c>
      <c r="H1" s="114" t="s">
        <v>73</v>
      </c>
      <c r="I1" s="114" t="s">
        <v>83</v>
      </c>
    </row>
    <row r="5" spans="1:9" x14ac:dyDescent="0.2">
      <c r="D5" s="114" t="s">
        <v>49</v>
      </c>
    </row>
    <row r="7" spans="1:9" x14ac:dyDescent="0.2">
      <c r="F7" s="114" t="s">
        <v>50</v>
      </c>
    </row>
    <row r="9" spans="1:9" x14ac:dyDescent="0.2">
      <c r="A9" s="114" t="s">
        <v>54</v>
      </c>
      <c r="F9" s="114" t="s">
        <v>51</v>
      </c>
      <c r="G9" s="114" t="s">
        <v>105</v>
      </c>
      <c r="I9" s="114" t="s">
        <v>84</v>
      </c>
    </row>
    <row r="10" spans="1:9" x14ac:dyDescent="0.2">
      <c r="A10" s="114" t="s">
        <v>54</v>
      </c>
      <c r="F10" s="114" t="s">
        <v>103</v>
      </c>
      <c r="G10" s="114" t="s">
        <v>106</v>
      </c>
      <c r="I10" s="114" t="s">
        <v>84</v>
      </c>
    </row>
    <row r="11" spans="1:9" x14ac:dyDescent="0.2">
      <c r="A11" s="114" t="s">
        <v>54</v>
      </c>
      <c r="F11" s="114" t="s">
        <v>52</v>
      </c>
      <c r="G11" s="114" t="s">
        <v>107</v>
      </c>
      <c r="H11" s="114"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RowHeight="12.75" x14ac:dyDescent="0.2"/>
  <sheetData>
    <row r="1" spans="1:9" x14ac:dyDescent="0.2">
      <c r="A1" s="114" t="s">
        <v>533</v>
      </c>
      <c r="F1" s="114" t="s">
        <v>55</v>
      </c>
      <c r="G1" s="114" t="s">
        <v>56</v>
      </c>
      <c r="H1" s="114" t="s">
        <v>73</v>
      </c>
      <c r="I1" s="114" t="s">
        <v>83</v>
      </c>
    </row>
    <row r="5" spans="1:9" x14ac:dyDescent="0.2">
      <c r="D5" s="114" t="s">
        <v>49</v>
      </c>
    </row>
    <row r="7" spans="1:9" x14ac:dyDescent="0.2">
      <c r="F7" s="114" t="s">
        <v>50</v>
      </c>
    </row>
    <row r="9" spans="1:9" x14ac:dyDescent="0.2">
      <c r="A9" s="114" t="s">
        <v>54</v>
      </c>
      <c r="F9" s="114" t="s">
        <v>51</v>
      </c>
      <c r="G9" s="114" t="s">
        <v>105</v>
      </c>
      <c r="I9" s="114" t="s">
        <v>84</v>
      </c>
    </row>
    <row r="10" spans="1:9" x14ac:dyDescent="0.2">
      <c r="A10" s="114" t="s">
        <v>54</v>
      </c>
      <c r="F10" s="114" t="s">
        <v>103</v>
      </c>
      <c r="G10" s="114" t="s">
        <v>106</v>
      </c>
      <c r="I10" s="114" t="s">
        <v>84</v>
      </c>
    </row>
    <row r="11" spans="1:9" x14ac:dyDescent="0.2">
      <c r="A11" s="114" t="s">
        <v>54</v>
      </c>
      <c r="F11" s="114" t="s">
        <v>52</v>
      </c>
      <c r="G11" s="114" t="s">
        <v>107</v>
      </c>
      <c r="H11" s="114" t="s">
        <v>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RowHeight="12.75" x14ac:dyDescent="0.2"/>
  <sheetData>
    <row r="1" spans="1:8" x14ac:dyDescent="0.2">
      <c r="A1" s="114" t="s">
        <v>534</v>
      </c>
      <c r="B1" s="114" t="s">
        <v>5</v>
      </c>
    </row>
    <row r="2" spans="1:8" x14ac:dyDescent="0.2">
      <c r="A2" s="114" t="s">
        <v>5</v>
      </c>
      <c r="E2" s="114" t="s">
        <v>4</v>
      </c>
      <c r="F2" s="114" t="s">
        <v>109</v>
      </c>
      <c r="G2" s="114" t="s">
        <v>110</v>
      </c>
      <c r="H2" s="114" t="s">
        <v>111</v>
      </c>
    </row>
    <row r="3" spans="1:8" x14ac:dyDescent="0.2">
      <c r="A3" s="114" t="s">
        <v>5</v>
      </c>
      <c r="F3" s="114" t="s">
        <v>112</v>
      </c>
      <c r="G3" s="114" t="s">
        <v>113</v>
      </c>
      <c r="H3" s="114" t="s">
        <v>114</v>
      </c>
    </row>
    <row r="4" spans="1:8" x14ac:dyDescent="0.2">
      <c r="A4" s="114" t="s">
        <v>5</v>
      </c>
      <c r="E4" s="114" t="s">
        <v>3</v>
      </c>
      <c r="F4" s="114" t="s">
        <v>115</v>
      </c>
    </row>
    <row r="5" spans="1:8" x14ac:dyDescent="0.2">
      <c r="A5" s="114" t="s">
        <v>5</v>
      </c>
      <c r="B5" s="114" t="s">
        <v>78</v>
      </c>
    </row>
    <row r="6" spans="1:8" x14ac:dyDescent="0.2">
      <c r="A6" s="114" t="s">
        <v>5</v>
      </c>
    </row>
    <row r="9" spans="1:8" x14ac:dyDescent="0.2">
      <c r="E9" s="114" t="s">
        <v>116</v>
      </c>
    </row>
    <row r="10" spans="1:8" x14ac:dyDescent="0.2">
      <c r="E10" s="114" t="s">
        <v>117</v>
      </c>
    </row>
    <row r="12" spans="1:8" x14ac:dyDescent="0.2">
      <c r="E12" s="114" t="s">
        <v>6</v>
      </c>
    </row>
    <row r="14" spans="1:8" x14ac:dyDescent="0.2">
      <c r="F14" s="114" t="s">
        <v>118</v>
      </c>
      <c r="G14" s="114" t="s">
        <v>119</v>
      </c>
      <c r="H14" s="114" t="s">
        <v>120</v>
      </c>
    </row>
    <row r="15" spans="1:8" x14ac:dyDescent="0.2">
      <c r="B15" s="114" t="s">
        <v>76</v>
      </c>
      <c r="E15" s="114" t="s">
        <v>7</v>
      </c>
      <c r="F15" s="114" t="s">
        <v>518</v>
      </c>
      <c r="G15" s="114" t="s">
        <v>519</v>
      </c>
      <c r="H15" s="114" t="s">
        <v>520</v>
      </c>
    </row>
    <row r="16" spans="1:8" x14ac:dyDescent="0.2">
      <c r="B16" s="114" t="s">
        <v>121</v>
      </c>
      <c r="E16" s="114" t="s">
        <v>8</v>
      </c>
      <c r="F16" s="114" t="s">
        <v>521</v>
      </c>
      <c r="G16" s="114" t="s">
        <v>522</v>
      </c>
      <c r="H16" s="114" t="s">
        <v>523</v>
      </c>
    </row>
    <row r="17" spans="2:9" x14ac:dyDescent="0.2">
      <c r="B17" s="114" t="s">
        <v>122</v>
      </c>
      <c r="E17" s="114" t="s">
        <v>9</v>
      </c>
      <c r="F17" s="114" t="s">
        <v>524</v>
      </c>
      <c r="G17" s="114" t="s">
        <v>525</v>
      </c>
      <c r="H17" s="114" t="s">
        <v>526</v>
      </c>
    </row>
    <row r="18" spans="2:9" x14ac:dyDescent="0.2">
      <c r="B18" s="114" t="s">
        <v>123</v>
      </c>
      <c r="E18" s="114" t="s">
        <v>10</v>
      </c>
      <c r="F18" s="114" t="s">
        <v>527</v>
      </c>
      <c r="G18" s="114" t="s">
        <v>528</v>
      </c>
      <c r="H18" s="114" t="s">
        <v>529</v>
      </c>
    </row>
    <row r="19" spans="2:9" x14ac:dyDescent="0.2">
      <c r="B19" s="114" t="s">
        <v>77</v>
      </c>
      <c r="E19" s="114" t="s">
        <v>0</v>
      </c>
      <c r="F19" s="114" t="s">
        <v>530</v>
      </c>
      <c r="G19" s="114" t="s">
        <v>531</v>
      </c>
      <c r="H19" s="114" t="s">
        <v>532</v>
      </c>
    </row>
    <row r="20" spans="2:9" x14ac:dyDescent="0.2">
      <c r="E20" s="114" t="s">
        <v>1</v>
      </c>
      <c r="F20" s="114" t="s">
        <v>124</v>
      </c>
      <c r="G20" s="114" t="s">
        <v>125</v>
      </c>
      <c r="H20" s="114" t="s">
        <v>126</v>
      </c>
      <c r="I20" s="114"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 Me</vt:lpstr>
      <vt:lpstr>Options</vt:lpstr>
      <vt:lpstr>Dept Sales Trend</vt:lpstr>
      <vt:lpstr>Dept IS</vt:lpstr>
      <vt:lpstr>Dept IS Graphics</vt:lpstr>
      <vt:lpstr>Cash Flow</vt:lpstr>
      <vt:lpstr>Body</vt:lpstr>
      <vt:lpstr>Department</vt:lpstr>
      <vt:lpstr>RevenueTotal</vt:lpstr>
      <vt:lpstr>RevenueTrend</vt:lpstr>
      <vt:lpstr>StartDate</vt:lpstr>
      <vt:lpstr>YearStartDate</vt:lpstr>
    </vt:vector>
  </TitlesOfParts>
  <Company>Jet Reports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 Financial Overview</dc:title>
  <dc:subject>Jet Reports</dc:subject>
  <dc:creator>John Kleb</dc:creator>
  <dc:description>Financial details for a company including revenue, income statement, cash flow and trends over time.  The information can be filtered by Department.</dc:description>
  <cp:lastModifiedBy>Kim R. Duey</cp:lastModifiedBy>
  <cp:lastPrinted>2014-01-09T01:10:42Z</cp:lastPrinted>
  <dcterms:created xsi:type="dcterms:W3CDTF">2002-03-23T22:09:22Z</dcterms:created>
  <dcterms:modified xsi:type="dcterms:W3CDTF">2018-10-25T21:42:58Z</dcterms:modified>
  <cp:category>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false</vt:bool>
  </property>
  <property fmtid="{D5CDD505-2E9C-101B-9397-08002B2CF9AE}" pid="3" name="Jet Reports Drill Button Active">
    <vt:bool>true</vt:bool>
  </property>
  <property fmtid="{D5CDD505-2E9C-101B-9397-08002B2CF9AE}" pid="4" name="Jet Reports Last Version Refresh">
    <vt:lpwstr>Version 7.0.5  Released 7/10/2007 9:14:35 AM</vt:lpwstr>
  </property>
  <property fmtid="{D5CDD505-2E9C-101B-9397-08002B2CF9AE}" pid="5" name="NeedsREVERT">
    <vt:lpwstr>FALSE</vt:lpwstr>
  </property>
  <property fmtid="{D5CDD505-2E9C-101B-9397-08002B2CF9AE}" pid="6" name="OriginalName">
    <vt:lpwstr>GL Financial Analysis.xls</vt:lpwstr>
  </property>
  <property fmtid="{D5CDD505-2E9C-101B-9397-08002B2CF9AE}" pid="7" name="Jet Reports Function Literals">
    <vt:lpwstr>,	;	,	{	}	[@[{0}]]	1033</vt:lpwstr>
  </property>
</Properties>
</file>