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240" yWindow="60" windowWidth="21075" windowHeight="12840"/>
  </bookViews>
  <sheets>
    <sheet name="Read Me" sheetId="498" r:id="rId1"/>
    <sheet name="Options" sheetId="2" state="hidden" r:id="rId2"/>
    <sheet name="Customer Inv. &amp; Payments" sheetId="1" r:id="rId3"/>
    <sheet name="Sheet28" sheetId="525" state="veryHidden" r:id="rId4"/>
    <sheet name="Sheet29" sheetId="526" state="veryHidden" r:id="rId5"/>
    <sheet name="Sheet30" sheetId="527" state="veryHidden" r:id="rId6"/>
    <sheet name="Sheet31" sheetId="528" state="veryHidden" r:id="rId7"/>
    <sheet name="Sheet32" sheetId="529" state="veryHidden" r:id="rId8"/>
    <sheet name="Sheet33" sheetId="530" state="veryHidden" r:id="rId9"/>
  </sheets>
  <calcPr calcId="162913"/>
</workbook>
</file>

<file path=xl/calcChain.xml><?xml version="1.0" encoding="utf-8"?>
<calcChain xmlns="http://schemas.openxmlformats.org/spreadsheetml/2006/main">
  <c r="R20" i="1" l="1"/>
  <c r="E6" i="2"/>
  <c r="E7" i="2"/>
  <c r="E8" i="2"/>
  <c r="J6" i="1"/>
  <c r="R6" i="1"/>
  <c r="J7" i="1"/>
  <c r="J8" i="1"/>
  <c r="H11" i="1"/>
  <c r="I11" i="1"/>
  <c r="H12" i="1"/>
  <c r="H13" i="1" s="1"/>
  <c r="I12" i="1"/>
  <c r="I13" i="1"/>
  <c r="H16" i="1"/>
  <c r="J16" i="1"/>
  <c r="K16" i="1"/>
  <c r="N16" i="1"/>
  <c r="H17" i="1"/>
  <c r="J17" i="1"/>
  <c r="K17" i="1"/>
  <c r="N17" i="1"/>
  <c r="Q20" i="1"/>
  <c r="H21" i="1"/>
  <c r="I21" i="1"/>
  <c r="H22" i="1"/>
  <c r="H23" i="1" s="1"/>
  <c r="I22" i="1"/>
  <c r="I23" i="1"/>
  <c r="H26" i="1"/>
  <c r="J26" i="1"/>
  <c r="K26" i="1"/>
  <c r="N26" i="1"/>
  <c r="H27" i="1"/>
  <c r="J27" i="1"/>
  <c r="K27" i="1"/>
  <c r="N27" i="1"/>
  <c r="Q30" i="1"/>
  <c r="R30" i="1"/>
  <c r="H31" i="1"/>
  <c r="I31" i="1"/>
  <c r="H32" i="1"/>
  <c r="H33" i="1" s="1"/>
  <c r="I32" i="1"/>
  <c r="I33" i="1"/>
  <c r="H36" i="1"/>
  <c r="J36" i="1"/>
  <c r="K36" i="1"/>
  <c r="N36" i="1"/>
  <c r="H37" i="1"/>
  <c r="J37" i="1"/>
  <c r="K37" i="1"/>
  <c r="N37" i="1"/>
  <c r="Q40" i="1"/>
  <c r="R40" i="1"/>
  <c r="H41" i="1"/>
  <c r="I41" i="1"/>
  <c r="E46" i="1" s="1"/>
  <c r="H42" i="1"/>
  <c r="H43" i="1" s="1"/>
  <c r="I42" i="1"/>
  <c r="I43" i="1"/>
  <c r="H46" i="1"/>
  <c r="J46" i="1"/>
  <c r="K46" i="1"/>
  <c r="N46" i="1"/>
  <c r="H47" i="1"/>
  <c r="J47" i="1"/>
  <c r="K47" i="1"/>
  <c r="N47" i="1"/>
  <c r="Q50" i="1"/>
  <c r="R50" i="1"/>
  <c r="H51" i="1"/>
  <c r="I51" i="1"/>
  <c r="H52" i="1"/>
  <c r="H53" i="1" s="1"/>
  <c r="I52" i="1"/>
  <c r="I53" i="1"/>
  <c r="H56" i="1"/>
  <c r="J56" i="1"/>
  <c r="K56" i="1"/>
  <c r="N56" i="1"/>
  <c r="H57" i="1"/>
  <c r="J57" i="1"/>
  <c r="K57" i="1"/>
  <c r="N57" i="1"/>
  <c r="Q60" i="1"/>
  <c r="R60" i="1"/>
  <c r="H61" i="1"/>
  <c r="I61" i="1"/>
  <c r="H62" i="1"/>
  <c r="H63" i="1" s="1"/>
  <c r="I62" i="1"/>
  <c r="I63" i="1"/>
  <c r="H66" i="1"/>
  <c r="J66" i="1"/>
  <c r="K66" i="1"/>
  <c r="N66" i="1"/>
  <c r="H67" i="1"/>
  <c r="J67" i="1"/>
  <c r="K67" i="1"/>
  <c r="N67" i="1"/>
  <c r="Q70" i="1"/>
  <c r="R70" i="1"/>
  <c r="H71" i="1"/>
  <c r="I71" i="1"/>
  <c r="H72" i="1"/>
  <c r="H73" i="1" s="1"/>
  <c r="I72" i="1"/>
  <c r="I73" i="1"/>
  <c r="H76" i="1"/>
  <c r="J76" i="1"/>
  <c r="K76" i="1"/>
  <c r="N76" i="1"/>
  <c r="H77" i="1"/>
  <c r="J77" i="1"/>
  <c r="K77" i="1"/>
  <c r="N77" i="1"/>
  <c r="Q80" i="1"/>
  <c r="R80" i="1"/>
  <c r="H81" i="1"/>
  <c r="I81" i="1"/>
  <c r="E86" i="1" s="1"/>
  <c r="E87" i="1" s="1"/>
  <c r="H82" i="1"/>
  <c r="H83" i="1" s="1"/>
  <c r="I82" i="1"/>
  <c r="I83" i="1"/>
  <c r="H86" i="1"/>
  <c r="J86" i="1"/>
  <c r="K86" i="1"/>
  <c r="N86" i="1"/>
  <c r="H87" i="1"/>
  <c r="J87" i="1"/>
  <c r="K87" i="1"/>
  <c r="N87" i="1"/>
  <c r="Q90" i="1"/>
  <c r="R90" i="1"/>
  <c r="H91" i="1"/>
  <c r="I91" i="1"/>
  <c r="H92" i="1"/>
  <c r="H93" i="1" s="1"/>
  <c r="I92" i="1"/>
  <c r="I93" i="1"/>
  <c r="H96" i="1"/>
  <c r="J96" i="1"/>
  <c r="K96" i="1"/>
  <c r="N96" i="1"/>
  <c r="H97" i="1"/>
  <c r="J97" i="1"/>
  <c r="K97" i="1"/>
  <c r="N97" i="1"/>
  <c r="Q100" i="1"/>
  <c r="R100" i="1"/>
  <c r="H101" i="1"/>
  <c r="I101" i="1"/>
  <c r="H102" i="1"/>
  <c r="H103" i="1" s="1"/>
  <c r="I102" i="1"/>
  <c r="I103" i="1"/>
  <c r="H106" i="1"/>
  <c r="J106" i="1"/>
  <c r="K106" i="1"/>
  <c r="N106" i="1"/>
  <c r="H107" i="1"/>
  <c r="J107" i="1"/>
  <c r="K107" i="1"/>
  <c r="N107" i="1"/>
  <c r="Q110" i="1"/>
  <c r="R110" i="1"/>
  <c r="H111" i="1"/>
  <c r="I111" i="1"/>
  <c r="H112" i="1"/>
  <c r="H113" i="1" s="1"/>
  <c r="I112" i="1"/>
  <c r="I113" i="1"/>
  <c r="H116" i="1"/>
  <c r="J116" i="1"/>
  <c r="K116" i="1"/>
  <c r="N116" i="1"/>
  <c r="H117" i="1"/>
  <c r="J117" i="1"/>
  <c r="K117" i="1"/>
  <c r="N117" i="1"/>
  <c r="H119" i="1"/>
  <c r="D119" i="1" s="1"/>
  <c r="D120" i="1" s="1"/>
  <c r="J119" i="1"/>
  <c r="K119" i="1"/>
  <c r="N119" i="1"/>
  <c r="H120" i="1"/>
  <c r="J120" i="1"/>
  <c r="K120" i="1"/>
  <c r="N120" i="1"/>
  <c r="H122" i="1"/>
  <c r="J122" i="1"/>
  <c r="K122" i="1"/>
  <c r="N122" i="1"/>
  <c r="H123" i="1"/>
  <c r="J123" i="1"/>
  <c r="K123" i="1"/>
  <c r="N123" i="1"/>
  <c r="Q126" i="1"/>
  <c r="R126" i="1"/>
  <c r="H127" i="1"/>
  <c r="I127" i="1"/>
  <c r="E132" i="1" s="1"/>
  <c r="H128" i="1"/>
  <c r="H129" i="1" s="1"/>
  <c r="I128" i="1"/>
  <c r="I129" i="1"/>
  <c r="H132" i="1"/>
  <c r="J132" i="1"/>
  <c r="K132" i="1"/>
  <c r="N132" i="1"/>
  <c r="H133" i="1"/>
  <c r="J133" i="1"/>
  <c r="K133" i="1"/>
  <c r="N133" i="1"/>
  <c r="Q136" i="1"/>
  <c r="R136" i="1"/>
  <c r="H137" i="1"/>
  <c r="I137" i="1"/>
  <c r="H138" i="1"/>
  <c r="H139" i="1" s="1"/>
  <c r="I138" i="1"/>
  <c r="I139" i="1"/>
  <c r="H142" i="1"/>
  <c r="J142" i="1"/>
  <c r="K142" i="1"/>
  <c r="N142" i="1"/>
  <c r="H143" i="1"/>
  <c r="J143" i="1"/>
  <c r="K143" i="1"/>
  <c r="N143" i="1"/>
  <c r="E122" i="1"/>
  <c r="E123" i="1" s="1"/>
  <c r="D122" i="1"/>
  <c r="D123" i="1" s="1"/>
  <c r="E119" i="1"/>
  <c r="E120" i="1" s="1"/>
  <c r="E116" i="1"/>
  <c r="E106" i="1"/>
  <c r="E96" i="1"/>
  <c r="E76" i="1"/>
  <c r="E56" i="1"/>
  <c r="E57" i="1" s="1"/>
  <c r="E36" i="1"/>
  <c r="E26" i="1"/>
  <c r="B120" i="1" l="1"/>
  <c r="B123" i="1"/>
  <c r="D106" i="1"/>
  <c r="D107" i="1" s="1"/>
  <c r="E47" i="1"/>
  <c r="E117" i="1"/>
  <c r="E97" i="1"/>
  <c r="E27" i="1"/>
  <c r="E77" i="1"/>
  <c r="E37" i="1"/>
  <c r="E133" i="1"/>
  <c r="D56" i="1"/>
  <c r="D57" i="1" s="1"/>
  <c r="E66" i="1"/>
  <c r="E107" i="1"/>
  <c r="E16" i="1"/>
  <c r="D26" i="1" l="1"/>
  <c r="D27" i="1" s="1"/>
  <c r="D86" i="1"/>
  <c r="D87" i="1" s="1"/>
  <c r="D132" i="1"/>
  <c r="D133" i="1" s="1"/>
  <c r="D96" i="1"/>
  <c r="D97" i="1" s="1"/>
  <c r="D116" i="1"/>
  <c r="D117" i="1" s="1"/>
  <c r="B57" i="1"/>
  <c r="B107" i="1"/>
  <c r="D46" i="1"/>
  <c r="D47" i="1" s="1"/>
  <c r="D76" i="1"/>
  <c r="D77" i="1" s="1"/>
  <c r="D36" i="1"/>
  <c r="D37" i="1" s="1"/>
  <c r="E142" i="1"/>
  <c r="Q146" i="1"/>
  <c r="E67" i="1"/>
  <c r="E17" i="1"/>
  <c r="D7" i="2"/>
  <c r="D6" i="2"/>
  <c r="D5" i="2"/>
  <c r="D66" i="1" l="1"/>
  <c r="D67" i="1" s="1"/>
  <c r="B87" i="1"/>
  <c r="B47" i="1"/>
  <c r="B27" i="1"/>
  <c r="E143" i="1"/>
  <c r="B77" i="1"/>
  <c r="B117" i="1"/>
  <c r="B97" i="1"/>
  <c r="B133" i="1"/>
  <c r="B37" i="1"/>
  <c r="D16" i="1"/>
  <c r="D17" i="1" s="1"/>
  <c r="D142" i="1" l="1"/>
  <c r="D143" i="1" s="1"/>
  <c r="B67" i="1"/>
  <c r="B17" i="1"/>
  <c r="B143" i="1" l="1"/>
  <c r="R146" i="1" l="1"/>
</calcChain>
</file>

<file path=xl/sharedStrings.xml><?xml version="1.0" encoding="utf-8"?>
<sst xmlns="http://schemas.openxmlformats.org/spreadsheetml/2006/main" count="1510" uniqueCount="573">
  <si>
    <t>hide</t>
  </si>
  <si>
    <t>fit</t>
  </si>
  <si>
    <t>Due Date</t>
  </si>
  <si>
    <t>Posting Date</t>
  </si>
  <si>
    <t>Report Options</t>
  </si>
  <si>
    <t>Title</t>
  </si>
  <si>
    <t>Value</t>
  </si>
  <si>
    <t>Description</t>
  </si>
  <si>
    <t>Lookup</t>
  </si>
  <si>
    <t>AR Customer Invoices &amp; Applied Payments</t>
  </si>
  <si>
    <t>Report Date:</t>
  </si>
  <si>
    <t xml:space="preserve">Customer </t>
  </si>
  <si>
    <t>Option</t>
  </si>
  <si>
    <t>Auto+Hide+Values</t>
  </si>
  <si>
    <t xml:space="preserve">Report Readme </t>
  </si>
  <si>
    <t>About the report</t>
  </si>
  <si>
    <t>Version of Jet</t>
  </si>
  <si>
    <t>Questions About This Report</t>
  </si>
  <si>
    <t>Click here to contact sample reports</t>
  </si>
  <si>
    <t>Services</t>
  </si>
  <si>
    <t>Training</t>
  </si>
  <si>
    <t>Sales</t>
  </si>
  <si>
    <t>Copyrights</t>
  </si>
  <si>
    <t>Doc. No.</t>
  </si>
  <si>
    <t>Amount (LCY)</t>
  </si>
  <si>
    <t>Hide</t>
  </si>
  <si>
    <t>Entry No</t>
  </si>
  <si>
    <t>Customer No</t>
  </si>
  <si>
    <t>min width --</t>
  </si>
  <si>
    <t>Amount</t>
  </si>
  <si>
    <t>Posting Date:</t>
  </si>
  <si>
    <t>Customer No:</t>
  </si>
  <si>
    <t>Open</t>
  </si>
  <si>
    <t xml:space="preserve">Amount </t>
  </si>
  <si>
    <t>Remaining</t>
  </si>
  <si>
    <t>Currency Code</t>
  </si>
  <si>
    <t>="*"</t>
  </si>
  <si>
    <t>=NP("eval","=Options!$D$5")</t>
  </si>
  <si>
    <t>=TODAY()</t>
  </si>
  <si>
    <t>=NP("eval","=Options!$D$6")</t>
  </si>
  <si>
    <t>=NP("eval","=Options!$D$7")</t>
  </si>
  <si>
    <t>Auto</t>
  </si>
  <si>
    <t>Transaction Currency</t>
  </si>
  <si>
    <t>Local Currency</t>
  </si>
  <si>
    <t>=I101</t>
  </si>
  <si>
    <t>=I61</t>
  </si>
  <si>
    <t>Country/Region Code</t>
  </si>
  <si>
    <t>Country/ Region Code</t>
  </si>
  <si>
    <t>=NP("eval","=Options!$D$8")</t>
  </si>
  <si>
    <t>=I21</t>
  </si>
  <si>
    <t>=E86</t>
  </si>
  <si>
    <t>=E46</t>
  </si>
  <si>
    <t>=I71</t>
  </si>
  <si>
    <t>Click here for downloads</t>
  </si>
  <si>
    <t>Tooltip</t>
  </si>
  <si>
    <t>Enter a date using the date format used in your NAV instance</t>
  </si>
  <si>
    <t>=NL("Lookup","Customer","35 Country/Region Code")</t>
  </si>
  <si>
    <t>=NL("Lookup","Customer",{"No.","Name"})</t>
  </si>
  <si>
    <t>=NL("Lookup",{"True","False"},{"True is Open, False is Closed"})</t>
  </si>
  <si>
    <t>Getting Help</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</si>
  <si>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</si>
  <si>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</si>
  <si>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</si>
  <si>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</si>
  <si>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</si>
  <si>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</si>
  <si>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</si>
  <si>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</si>
  <si>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</si>
  <si>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</si>
  <si>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</si>
  <si>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</si>
  <si>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</si>
  <si>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</si>
  <si>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</si>
  <si>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shows a listing of Customer invoices and applied payments including Balance for each account. 
Dates used in filtering must be formatted to the same format used in NAV.</t>
  </si>
  <si>
    <t>="""NAV Direct"",""CRONUS JetCorp USA"",""18"",""1"",""C100113"""</t>
  </si>
  <si>
    <t>="""NAV Direct"",""CRONUS JetCorp USA"",""18"",""1"",""C100138"""</t>
  </si>
  <si>
    <t>=I114</t>
  </si>
  <si>
    <t>=I11</t>
  </si>
  <si>
    <t>=E16</t>
  </si>
  <si>
    <t>=E26</t>
  </si>
  <si>
    <t>=I31</t>
  </si>
  <si>
    <t>=E36</t>
  </si>
  <si>
    <t>=I41</t>
  </si>
  <si>
    <t>=I51</t>
  </si>
  <si>
    <t>=E56</t>
  </si>
  <si>
    <t>=E66</t>
  </si>
  <si>
    <t>=E76</t>
  </si>
  <si>
    <t>=I81</t>
  </si>
  <si>
    <t>=I91</t>
  </si>
  <si>
    <t>=E96</t>
  </si>
  <si>
    <t>=E106</t>
  </si>
  <si>
    <t>=I111</t>
  </si>
  <si>
    <t>=E116</t>
  </si>
  <si>
    <t>=I117</t>
  </si>
  <si>
    <t>=E122</t>
  </si>
  <si>
    <t>=I127</t>
  </si>
  <si>
    <t>=E132</t>
  </si>
  <si>
    <t>=I137</t>
  </si>
  <si>
    <t>=E142</t>
  </si>
  <si>
    <t>="""NAV Direct"",""CRONUS JetCorp USA"",""18"",""1"",""C100064"""</t>
  </si>
  <si>
    <t>="""NAV Direct"",""CRONUS JetCorp USA"",""18"",""1"",""C100066"""</t>
  </si>
  <si>
    <t>="""NAV Direct"",""CRONUS JetCorp USA"",""18"",""1"",""C100084"""</t>
  </si>
  <si>
    <t>="""NAV Direct"",""CRONUS JetCorp USA"",""18"",""1"",""C100108"""</t>
  </si>
  <si>
    <t>="""NAV Direct"",""CRONUS JetCorp USA"",""18"",""1"",""C100135"""</t>
  </si>
  <si>
    <t>=NL("Rows=10","18 Customer",,"1 No.",$J$8,"35 Country/Region Code",$J$7,"LINK=","21 Cust. Ledger Entry","3 Customer No.","=1 No.","Document Type","Invoice","4 Posting Date",$J$6,"36 Open",$J$9)</t>
  </si>
  <si>
    <t>=NF(H11,"No.")</t>
  </si>
  <si>
    <t>=H11</t>
  </si>
  <si>
    <t>=NF(H11,"Name")</t>
  </si>
  <si>
    <t>=H12</t>
  </si>
  <si>
    <t>=NF(H11,"8 Contact")</t>
  </si>
  <si>
    <t>=H16</t>
  </si>
  <si>
    <t>=IF(NF(H16,"Entry no.")&lt;&gt;"",NF(H16,"Entry no."),0)</t>
  </si>
  <si>
    <t>=NL("Rows=3","21 Cust. Ledger Entry",,"3 Customer No.","@@"&amp;E16,"5 Document Type","Invoice","Posting Date",$J$6,"36 Open",$J$9)</t>
  </si>
  <si>
    <t>=NF(H16,"7 Description")</t>
  </si>
  <si>
    <t>=NF(H16,"6 Document No.")</t>
  </si>
  <si>
    <t>=NF(H16,"37 Due Date")</t>
  </si>
  <si>
    <t>=NF(H16,"4 Posting Date")</t>
  </si>
  <si>
    <t>=NF(H16,"11 Currency code")</t>
  </si>
  <si>
    <t>=IF(NF($H16,"13 Amount")=Q16,0,NF($H16,"13 Amount"))</t>
  </si>
  <si>
    <t>=IF(NF($H16,"14 Remaining Amount")=R16,0,NF($H16,"14 Remaining Amount"))</t>
  </si>
  <si>
    <t>=NF(H16,"17 Amount (LCY)")</t>
  </si>
  <si>
    <t>=NF(H16,"16 Remaining Amt. (LCY)")</t>
  </si>
  <si>
    <t>=D16</t>
  </si>
  <si>
    <t>=NF(H17,"Cust. Ledger Entry no.")</t>
  </si>
  <si>
    <t>=NL("Rows","379 Detailed Cust. Ledg. Entry",,"2 Cust. Ledger Entry No.","@@"&amp;G16,"Entry Type","&lt;&gt;"&amp;"Initial Entry")</t>
  </si>
  <si>
    <t>=NF($H17,"5 Document Type")</t>
  </si>
  <si>
    <t>=NF($H17,"6 Document No.")</t>
  </si>
  <si>
    <t>=NF($H17,"4 Posting Date")</t>
  </si>
  <si>
    <t>=NF(H17,"10 Currency Code")</t>
  </si>
  <si>
    <t>=IF(NF($H17,"7 Amount")=Q17,0,NF($H17,"7 Amount"))</t>
  </si>
  <si>
    <t>=IF(NF($H17,"16 Debit Amount")=R17,0,NF($H17,"16 Debit Amount"))</t>
  </si>
  <si>
    <t>=NF(H17,"8 Amount (LCY)")</t>
  </si>
  <si>
    <t>=NF(H17,"18 Debit Amount (LCY)")</t>
  </si>
  <si>
    <t>=CONCATENATE(I11," - ",I12,"      Remaining Amount  In Local Currency")</t>
  </si>
  <si>
    <t>=SUBTOTAL(9,R16:R19)</t>
  </si>
  <si>
    <t>=NF(H21,"No.")</t>
  </si>
  <si>
    <t>=H21</t>
  </si>
  <si>
    <t>=NF(H21,"Name")</t>
  </si>
  <si>
    <t>=H22</t>
  </si>
  <si>
    <t>=NF(H21,"8 Contact")</t>
  </si>
  <si>
    <t>=H26</t>
  </si>
  <si>
    <t>=IF(NF(H26,"Entry no.")&lt;&gt;"",NF(H26,"Entry no."),0)</t>
  </si>
  <si>
    <t>=NL("Rows=3","21 Cust. Ledger Entry",,"3 Customer No.","@@"&amp;E26,"5 Document Type","Invoice","Posting Date",$J$6,"36 Open",$J$9)</t>
  </si>
  <si>
    <t>=NF(H26,"7 Description")</t>
  </si>
  <si>
    <t>=NF(H26,"6 Document No.")</t>
  </si>
  <si>
    <t>=NF(H26,"37 Due Date")</t>
  </si>
  <si>
    <t>=NF(H26,"4 Posting Date")</t>
  </si>
  <si>
    <t>=NF(H26,"11 Currency code")</t>
  </si>
  <si>
    <t>=IF(NF($H26,"13 Amount")=Q26,0,NF($H26,"13 Amount"))</t>
  </si>
  <si>
    <t>=IF(NF($H26,"14 Remaining Amount")=R26,0,NF($H26,"14 Remaining Amount"))</t>
  </si>
  <si>
    <t>=NF(H26,"17 Amount (LCY)")</t>
  </si>
  <si>
    <t>=NF(H26,"16 Remaining Amt. (LCY)")</t>
  </si>
  <si>
    <t>=D26</t>
  </si>
  <si>
    <t>=NF(H27,"Cust. Ledger Entry no.")</t>
  </si>
  <si>
    <t>=NL("Rows","379 Detailed Cust. Ledg. Entry",,"2 Cust. Ledger Entry No.","@@"&amp;G26,"Entry Type","&lt;&gt;"&amp;"Initial Entry")</t>
  </si>
  <si>
    <t>=NF($H27,"5 Document Type")</t>
  </si>
  <si>
    <t>=NF($H27,"6 Document No.")</t>
  </si>
  <si>
    <t>=NF($H27,"4 Posting Date")</t>
  </si>
  <si>
    <t>=NF(H27,"10 Currency Code")</t>
  </si>
  <si>
    <t>=IF(NF($H27,"7 Amount")=Q27,0,NF($H27,"7 Amount"))</t>
  </si>
  <si>
    <t>=IF(NF($H27,"16 Debit Amount")=R27,0,NF($H27,"16 Debit Amount"))</t>
  </si>
  <si>
    <t>=NF(H27,"8 Amount (LCY)")</t>
  </si>
  <si>
    <t>=NF(H27,"18 Debit Amount (LCY)")</t>
  </si>
  <si>
    <t>=CONCATENATE(I21," - ",I22,"      Remaining Amount  In Local Currency")</t>
  </si>
  <si>
    <t>=H102</t>
  </si>
  <si>
    <t>=H112</t>
  </si>
  <si>
    <t>=H122</t>
  </si>
  <si>
    <t>=IF(NF(H122,"Entry no.")&lt;&gt;"",NF(H122,"Entry no."),0)</t>
  </si>
  <si>
    <t>=NF(H122,"7 Description")</t>
  </si>
  <si>
    <t>=NF(H122,"6 Document No.")</t>
  </si>
  <si>
    <t>=NF(H122,"37 Due Date")</t>
  </si>
  <si>
    <t>=NF(H122,"4 Posting Date")</t>
  </si>
  <si>
    <t>=NF(H122,"11 Currency code")</t>
  </si>
  <si>
    <t>=IF(NF($H122,"13 Amount")=Q122,0,NF($H122,"13 Amount"))</t>
  </si>
  <si>
    <t>=IF(NF($H122,"14 Remaining Amount")=R122,0,NF($H122,"14 Remaining Amount"))</t>
  </si>
  <si>
    <t>=NF(H122,"17 Amount (LCY)")</t>
  </si>
  <si>
    <t>=NF(H122,"16 Remaining Amt. (LCY)")</t>
  </si>
  <si>
    <t>=D122</t>
  </si>
  <si>
    <t>=NF(H123,"Cust. Ledger Entry no.")</t>
  </si>
  <si>
    <t>=NL("Rows","379 Detailed Cust. Ledg. Entry",,"2 Cust. Ledger Entry No.","@@"&amp;G122,"Entry Type","&lt;&gt;"&amp;"Initial Entry")</t>
  </si>
  <si>
    <t>=NF($H123,"5 Document Type")</t>
  </si>
  <si>
    <t>=NF($H123,"6 Document No.")</t>
  </si>
  <si>
    <t>=NF($H123,"4 Posting Date")</t>
  </si>
  <si>
    <t>=NF(H123,"10 Currency Code")</t>
  </si>
  <si>
    <t>=IF(NF($H123,"7 Amount")=Q123,0,NF($H123,"7 Amount"))</t>
  </si>
  <si>
    <t>=IF(NF($H123,"16 Debit Amount")=R123,0,NF($H123,"16 Debit Amount"))</t>
  </si>
  <si>
    <t>=NF(H123,"8 Amount (LCY)")</t>
  </si>
  <si>
    <t>=NF(H123,"18 Debit Amount (LCY)")</t>
  </si>
  <si>
    <t>=NF(H127,"No.")</t>
  </si>
  <si>
    <t>=H127</t>
  </si>
  <si>
    <t>=NF(H127,"Name")</t>
  </si>
  <si>
    <t>=H128</t>
  </si>
  <si>
    <t>=NF(H127,"8 Contact")</t>
  </si>
  <si>
    <t>=H132</t>
  </si>
  <si>
    <t>=IF(NF(H132,"Entry no.")&lt;&gt;"",NF(H132,"Entry no."),0)</t>
  </si>
  <si>
    <t>=NL("Rows=3","21 Cust. Ledger Entry",,"3 Customer No.","@@"&amp;E132,"5 Document Type","Invoice","Posting Date",$J$6,"36 Open",$J$9)</t>
  </si>
  <si>
    <t>=NF(H132,"7 Description")</t>
  </si>
  <si>
    <t>=NF(H132,"6 Document No.")</t>
  </si>
  <si>
    <t>=NF(H132,"37 Due Date")</t>
  </si>
  <si>
    <t>=NF(H132,"4 Posting Date")</t>
  </si>
  <si>
    <t>=NF(H132,"11 Currency code")</t>
  </si>
  <si>
    <t>=IF(NF($H132,"13 Amount")=Q132,0,NF($H132,"13 Amount"))</t>
  </si>
  <si>
    <t>=IF(NF($H132,"14 Remaining Amount")=R132,0,NF($H132,"14 Remaining Amount"))</t>
  </si>
  <si>
    <t>=NF(H132,"17 Amount (LCY)")</t>
  </si>
  <si>
    <t>=NF(H132,"16 Remaining Amt. (LCY)")</t>
  </si>
  <si>
    <t>=D132</t>
  </si>
  <si>
    <t>=NF(H133,"Cust. Ledger Entry no.")</t>
  </si>
  <si>
    <t>=NL("Rows","379 Detailed Cust. Ledg. Entry",,"2 Cust. Ledger Entry No.","@@"&amp;G132,"Entry Type","&lt;&gt;"&amp;"Initial Entry")</t>
  </si>
  <si>
    <t>=NF($H133,"5 Document Type")</t>
  </si>
  <si>
    <t>=NF($H133,"6 Document No.")</t>
  </si>
  <si>
    <t>=NF($H133,"4 Posting Date")</t>
  </si>
  <si>
    <t>=NF(H133,"10 Currency Code")</t>
  </si>
  <si>
    <t>=IF(NF($H133,"7 Amount")=Q133,0,NF($H133,"7 Amount"))</t>
  </si>
  <si>
    <t>=IF(NF($H133,"16 Debit Amount")=R133,0,NF($H133,"16 Debit Amount"))</t>
  </si>
  <si>
    <t>=NF(H133,"8 Amount (LCY)")</t>
  </si>
  <si>
    <t>=NF(H133,"18 Debit Amount (LCY)")</t>
  </si>
  <si>
    <t>=CONCATENATE(I127," - ",I128,"      Remaining Amount  In Local Currency")</t>
  </si>
  <si>
    <t>=SUBTOTAL(9,R132:R135)</t>
  </si>
  <si>
    <t>=NF(H137,"No.")</t>
  </si>
  <si>
    <t>=H137</t>
  </si>
  <si>
    <t>=NF(H137,"Name")</t>
  </si>
  <si>
    <t>=H138</t>
  </si>
  <si>
    <t>=NF(H137,"8 Contact")</t>
  </si>
  <si>
    <t>=H142</t>
  </si>
  <si>
    <t>=IF(NF(H142,"Entry no.")&lt;&gt;"",NF(H142,"Entry no."),0)</t>
  </si>
  <si>
    <t>=NL("Rows=3","21 Cust. Ledger Entry",,"3 Customer No.","@@"&amp;E142,"5 Document Type","Invoice","Posting Date",$J$6,"36 Open",$J$9)</t>
  </si>
  <si>
    <t>=NF(H142,"7 Description")</t>
  </si>
  <si>
    <t>=NF(H142,"6 Document No.")</t>
  </si>
  <si>
    <t>=NF(H142,"37 Due Date")</t>
  </si>
  <si>
    <t>=NF(H142,"4 Posting Date")</t>
  </si>
  <si>
    <t>=NF(H142,"11 Currency code")</t>
  </si>
  <si>
    <t>=IF(NF($H142,"13 Amount")=Q142,0,NF($H142,"13 Amount"))</t>
  </si>
  <si>
    <t>=IF(NF($H142,"14 Remaining Amount")=R142,0,NF($H142,"14 Remaining Amount"))</t>
  </si>
  <si>
    <t>=NF(H142,"17 Amount (LCY)")</t>
  </si>
  <si>
    <t>=NF(H142,"16 Remaining Amt. (LCY)")</t>
  </si>
  <si>
    <t>=D142</t>
  </si>
  <si>
    <t>=NF(H143,"Cust. Ledger Entry no.")</t>
  </si>
  <si>
    <t>=NL("Rows","379 Detailed Cust. Ledg. Entry",,"2 Cust. Ledger Entry No.","@@"&amp;G142,"Entry Type","&lt;&gt;"&amp;"Initial Entry")</t>
  </si>
  <si>
    <t>=NF($H143,"5 Document Type")</t>
  </si>
  <si>
    <t>=NF($H143,"6 Document No.")</t>
  </si>
  <si>
    <t>=NF($H143,"4 Posting Date")</t>
  </si>
  <si>
    <t>=NF(H143,"10 Currency Code")</t>
  </si>
  <si>
    <t>=IF(NF($H143,"7 Amount")=Q143,0,NF($H143,"7 Amount"))</t>
  </si>
  <si>
    <t>=IF(NF($H143,"16 Debit Amount")=R143,0,NF($H143,"16 Debit Amount"))</t>
  </si>
  <si>
    <t>=NF(H143,"8 Amount (LCY)")</t>
  </si>
  <si>
    <t>=NF(H143,"18 Debit Amount (LCY)")</t>
  </si>
  <si>
    <t>=CONCATENATE(I137," - ",I138,"      Remaining Amount  In Local Currency")</t>
  </si>
  <si>
    <t>=SUBTOTAL(9,R142:R145)</t>
  </si>
  <si>
    <t>Hide+?</t>
  </si>
  <si>
    <t>FALSE</t>
  </si>
  <si>
    <t>=IF(H17="","Hide","Show")</t>
  </si>
  <si>
    <t>="""NAV Direct"",""CRONUS JetCorp USA"",""18"",""1"",""C100012"""</t>
  </si>
  <si>
    <t>=IF(H27="","Hide","Show")</t>
  </si>
  <si>
    <t>=H32</t>
  </si>
  <si>
    <t>=H42</t>
  </si>
  <si>
    <t>=H52</t>
  </si>
  <si>
    <t>=H62</t>
  </si>
  <si>
    <t>=H91</t>
  </si>
  <si>
    <t>=H96</t>
  </si>
  <si>
    <t>=H101</t>
  </si>
  <si>
    <t>=H106</t>
  </si>
  <si>
    <t>=H111</t>
  </si>
  <si>
    <t>=H116</t>
  </si>
  <si>
    <t>="""NAV Direct"",""CRONUS JetCorp USA"",""18"",""1"",""C100107"""</t>
  </si>
  <si>
    <t>="""NAV Direct"",""CRONUS JetCorp USA"",""18"",""1"",""C100126"""</t>
  </si>
  <si>
    <t>="""NAV Direct"",""CRONUS JetCorp USA"",""18"",""1"",""C100134"""</t>
  </si>
  <si>
    <t>="""NAV Direct"",""CRONUS JetCorp USA"",""21"",""1"",""168922"""</t>
  </si>
  <si>
    <t>="""NAV Direct"",""CRONUS JetCorp USA"",""21"",""1"",""169186"""</t>
  </si>
  <si>
    <t>="""NAV Direct"",""CRONUS JetCorp USA"",""18"",""1"",""C100137"""</t>
  </si>
  <si>
    <t>="4/1/2019..4/5/2019"</t>
  </si>
  <si>
    <t>Auto+Hide+Hidesheet+Formulas=Sheet28,Sheet29+FormulasOnly</t>
  </si>
  <si>
    <t>Auto+Hide+Values+Formulas=Sheet30,Sheet31+FormulasOnly</t>
  </si>
  <si>
    <t>Auto+Hide+Hidesheet+Formulas=Sheet32,Sheet28,Sheet29</t>
  </si>
  <si>
    <t>Auto+Hide+Hidesheet+Formulas=Sheet32,Sheet28,Sheet29+FormulasOnly</t>
  </si>
  <si>
    <t>Auto+Hide+Values+Formulas=Sheet33,Sheet30,Sheet31</t>
  </si>
  <si>
    <t>=SUBTOTAL(9,R26:R29)</t>
  </si>
  <si>
    <t>=NF(H31,"No.")</t>
  </si>
  <si>
    <t>=H31</t>
  </si>
  <si>
    <t>=NF(H31,"Name")</t>
  </si>
  <si>
    <t>=NF(H31,"8 Contact")</t>
  </si>
  <si>
    <t>=H36</t>
  </si>
  <si>
    <t>=IF(NF(H36,"Entry no.")&lt;&gt;"",NF(H36,"Entry no."),0)</t>
  </si>
  <si>
    <t>=NL("Rows=3","21 Cust. Ledger Entry",,"3 Customer No.","@@"&amp;E36,"5 Document Type","Invoice","Posting Date",$J$6,"36 Open",$J$9)</t>
  </si>
  <si>
    <t>=NF(H36,"7 Description")</t>
  </si>
  <si>
    <t>=NF(H36,"6 Document No.")</t>
  </si>
  <si>
    <t>=NF(H36,"37 Due Date")</t>
  </si>
  <si>
    <t>=NF(H36,"4 Posting Date")</t>
  </si>
  <si>
    <t>=NF(H36,"11 Currency code")</t>
  </si>
  <si>
    <t>=IF(NF($H36,"13 Amount")=Q36,0,NF($H36,"13 Amount"))</t>
  </si>
  <si>
    <t>=IF(NF($H36,"14 Remaining Amount")=R36,0,NF($H36,"14 Remaining Amount"))</t>
  </si>
  <si>
    <t>=NF(H36,"17 Amount (LCY)")</t>
  </si>
  <si>
    <t>=NF(H36,"16 Remaining Amt. (LCY)")</t>
  </si>
  <si>
    <t>=IF(H37="","Hide","Show")</t>
  </si>
  <si>
    <t>=D36</t>
  </si>
  <si>
    <t>=NF(H37,"Cust. Ledger Entry no.")</t>
  </si>
  <si>
    <t>=NL("Rows","379 Detailed Cust. Ledg. Entry",,"2 Cust. Ledger Entry No.","@@"&amp;G36,"Entry Type","&lt;&gt;"&amp;"Initial Entry")</t>
  </si>
  <si>
    <t>=NF($H37,"5 Document Type")</t>
  </si>
  <si>
    <t>=NF($H37,"6 Document No.")</t>
  </si>
  <si>
    <t>=NF($H37,"4 Posting Date")</t>
  </si>
  <si>
    <t>=NF(H37,"10 Currency Code")</t>
  </si>
  <si>
    <t>=IF(NF($H37,"7 Amount")=Q37,0,NF($H37,"7 Amount"))</t>
  </si>
  <si>
    <t>=IF(NF($H37,"16 Debit Amount")=R37,0,NF($H37,"16 Debit Amount"))</t>
  </si>
  <si>
    <t>=NF(H37,"8 Amount (LCY)")</t>
  </si>
  <si>
    <t>=NF(H37,"18 Debit Amount (LCY)")</t>
  </si>
  <si>
    <t>=CONCATENATE(I31," - ",I32,"      Remaining Amount  In Local Currency")</t>
  </si>
  <si>
    <t>=SUBTOTAL(9,R36:R39)</t>
  </si>
  <si>
    <t>=NF(H41,"No.")</t>
  </si>
  <si>
    <t>=H41</t>
  </si>
  <si>
    <t>=NF(H41,"Name")</t>
  </si>
  <si>
    <t>=NF(H41,"8 Contact")</t>
  </si>
  <si>
    <t>=H46</t>
  </si>
  <si>
    <t>=IF(NF(H46,"Entry no.")&lt;&gt;"",NF(H46,"Entry no."),0)</t>
  </si>
  <si>
    <t>=NL("Rows=3","21 Cust. Ledger Entry",,"3 Customer No.","@@"&amp;E46,"5 Document Type","Invoice","Posting Date",$J$6,"36 Open",$J$9)</t>
  </si>
  <si>
    <t>=NF(H46,"7 Description")</t>
  </si>
  <si>
    <t>=NF(H46,"6 Document No.")</t>
  </si>
  <si>
    <t>=NF(H46,"37 Due Date")</t>
  </si>
  <si>
    <t>=NF(H46,"4 Posting Date")</t>
  </si>
  <si>
    <t>=NF(H46,"11 Currency code")</t>
  </si>
  <si>
    <t>=IF(NF($H46,"13 Amount")=Q46,0,NF($H46,"13 Amount"))</t>
  </si>
  <si>
    <t>=IF(NF($H46,"14 Remaining Amount")=R46,0,NF($H46,"14 Remaining Amount"))</t>
  </si>
  <si>
    <t>=NF(H46,"17 Amount (LCY)")</t>
  </si>
  <si>
    <t>=NF(H46,"16 Remaining Amt. (LCY)")</t>
  </si>
  <si>
    <t>=IF(H47="","Hide","Show")</t>
  </si>
  <si>
    <t>=D46</t>
  </si>
  <si>
    <t>=NF(H47,"Cust. Ledger Entry no.")</t>
  </si>
  <si>
    <t>=NL("Rows","379 Detailed Cust. Ledg. Entry",,"2 Cust. Ledger Entry No.","@@"&amp;G46,"Entry Type","&lt;&gt;"&amp;"Initial Entry")</t>
  </si>
  <si>
    <t>=NF($H47,"5 Document Type")</t>
  </si>
  <si>
    <t>=NF($H47,"6 Document No.")</t>
  </si>
  <si>
    <t>=NF($H47,"4 Posting Date")</t>
  </si>
  <si>
    <t>=NF(H47,"10 Currency Code")</t>
  </si>
  <si>
    <t>=IF(NF($H47,"7 Amount")=Q47,0,NF($H47,"7 Amount"))</t>
  </si>
  <si>
    <t>=IF(NF($H47,"16 Debit Amount")=R47,0,NF($H47,"16 Debit Amount"))</t>
  </si>
  <si>
    <t>=NF(H47,"8 Amount (LCY)")</t>
  </si>
  <si>
    <t>=NF(H47,"18 Debit Amount (LCY)")</t>
  </si>
  <si>
    <t>=CONCATENATE(I41," - ",I42,"      Remaining Amount  In Local Currency")</t>
  </si>
  <si>
    <t>=SUBTOTAL(9,R46:R49)</t>
  </si>
  <si>
    <t>=NF(H51,"No.")</t>
  </si>
  <si>
    <t>=H51</t>
  </si>
  <si>
    <t>=NF(H51,"Name")</t>
  </si>
  <si>
    <t>=NF(H51,"8 Contact")</t>
  </si>
  <si>
    <t>=H56</t>
  </si>
  <si>
    <t>=IF(NF(H56,"Entry no.")&lt;&gt;"",NF(H56,"Entry no."),0)</t>
  </si>
  <si>
    <t>=NL("Rows=3","21 Cust. Ledger Entry",,"3 Customer No.","@@"&amp;E56,"5 Document Type","Invoice","Posting Date",$J$6,"36 Open",$J$9)</t>
  </si>
  <si>
    <t>=NF(H56,"7 Description")</t>
  </si>
  <si>
    <t>=NF(H56,"6 Document No.")</t>
  </si>
  <si>
    <t>=NF(H56,"37 Due Date")</t>
  </si>
  <si>
    <t>=NF(H56,"4 Posting Date")</t>
  </si>
  <si>
    <t>=NF(H56,"11 Currency code")</t>
  </si>
  <si>
    <t>=IF(NF($H56,"13 Amount")=Q56,0,NF($H56,"13 Amount"))</t>
  </si>
  <si>
    <t>=IF(NF($H56,"14 Remaining Amount")=R56,0,NF($H56,"14 Remaining Amount"))</t>
  </si>
  <si>
    <t>=NF(H56,"17 Amount (LCY)")</t>
  </si>
  <si>
    <t>=NF(H56,"16 Remaining Amt. (LCY)")</t>
  </si>
  <si>
    <t>=IF(H57="","Hide","Show")</t>
  </si>
  <si>
    <t>=D56</t>
  </si>
  <si>
    <t>=NF(H57,"Cust. Ledger Entry no.")</t>
  </si>
  <si>
    <t>=NL("Rows","379 Detailed Cust. Ledg. Entry",,"2 Cust. Ledger Entry No.","@@"&amp;G56,"Entry Type","&lt;&gt;"&amp;"Initial Entry")</t>
  </si>
  <si>
    <t>=NF($H57,"5 Document Type")</t>
  </si>
  <si>
    <t>=NF($H57,"6 Document No.")</t>
  </si>
  <si>
    <t>=NF($H57,"4 Posting Date")</t>
  </si>
  <si>
    <t>=NF(H57,"10 Currency Code")</t>
  </si>
  <si>
    <t>=IF(NF($H57,"7 Amount")=Q57,0,NF($H57,"7 Amount"))</t>
  </si>
  <si>
    <t>=IF(NF($H57,"16 Debit Amount")=R57,0,NF($H57,"16 Debit Amount"))</t>
  </si>
  <si>
    <t>=NF(H57,"8 Amount (LCY)")</t>
  </si>
  <si>
    <t>=NF(H57,"18 Debit Amount (LCY)")</t>
  </si>
  <si>
    <t>=CONCATENATE(I51," - ",I52,"      Remaining Amount  In Local Currency")</t>
  </si>
  <si>
    <t>=SUBTOTAL(9,R56:R59)</t>
  </si>
  <si>
    <t>=NF(H61,"No.")</t>
  </si>
  <si>
    <t>=H61</t>
  </si>
  <si>
    <t>=NF(H61,"Name")</t>
  </si>
  <si>
    <t>=NF(H61,"8 Contact")</t>
  </si>
  <si>
    <t>=H66</t>
  </si>
  <si>
    <t>=IF(NF(H66,"Entry no.")&lt;&gt;"",NF(H66,"Entry no."),0)</t>
  </si>
  <si>
    <t>=NL("Rows=3","21 Cust. Ledger Entry",,"3 Customer No.","@@"&amp;E66,"5 Document Type","Invoice","Posting Date",$J$6,"36 Open",$J$9)</t>
  </si>
  <si>
    <t>=NF(H66,"7 Description")</t>
  </si>
  <si>
    <t>=NF(H66,"6 Document No.")</t>
  </si>
  <si>
    <t>=NF(H66,"37 Due Date")</t>
  </si>
  <si>
    <t>=NF(H66,"4 Posting Date")</t>
  </si>
  <si>
    <t>=NF(H66,"11 Currency code")</t>
  </si>
  <si>
    <t>=IF(NF($H66,"13 Amount")=Q66,0,NF($H66,"13 Amount"))</t>
  </si>
  <si>
    <t>=IF(NF($H66,"14 Remaining Amount")=R66,0,NF($H66,"14 Remaining Amount"))</t>
  </si>
  <si>
    <t>=NF(H66,"17 Amount (LCY)")</t>
  </si>
  <si>
    <t>=NF(H66,"16 Remaining Amt. (LCY)")</t>
  </si>
  <si>
    <t>=IF(H67="","Hide","Show")</t>
  </si>
  <si>
    <t>=D66</t>
  </si>
  <si>
    <t>=NF(H67,"Cust. Ledger Entry no.")</t>
  </si>
  <si>
    <t>=NL("Rows","379 Detailed Cust. Ledg. Entry",,"2 Cust. Ledger Entry No.","@@"&amp;G66,"Entry Type","&lt;&gt;"&amp;"Initial Entry")</t>
  </si>
  <si>
    <t>=NF($H67,"5 Document Type")</t>
  </si>
  <si>
    <t>=NF($H67,"6 Document No.")</t>
  </si>
  <si>
    <t>=NF($H67,"4 Posting Date")</t>
  </si>
  <si>
    <t>=NF(H67,"10 Currency Code")</t>
  </si>
  <si>
    <t>=IF(NF($H67,"7 Amount")=Q67,0,NF($H67,"7 Amount"))</t>
  </si>
  <si>
    <t>=IF(NF($H67,"16 Debit Amount")=R67,0,NF($H67,"16 Debit Amount"))</t>
  </si>
  <si>
    <t>=NF(H67,"8 Amount (LCY)")</t>
  </si>
  <si>
    <t>=NF(H67,"18 Debit Amount (LCY)")</t>
  </si>
  <si>
    <t>=CONCATENATE(I61," - ",I62,"      Remaining Amount  In Local Currency")</t>
  </si>
  <si>
    <t>=SUBTOTAL(9,R66:R69)</t>
  </si>
  <si>
    <t>=NF(H71,"No.")</t>
  </si>
  <si>
    <t>=H71</t>
  </si>
  <si>
    <t>=NF(H71,"Name")</t>
  </si>
  <si>
    <t>=H72</t>
  </si>
  <si>
    <t>=NF(H71,"8 Contact")</t>
  </si>
  <si>
    <t>=H76</t>
  </si>
  <si>
    <t>=IF(NF(H76,"Entry no.")&lt;&gt;"",NF(H76,"Entry no."),0)</t>
  </si>
  <si>
    <t>=NL("Rows=3","21 Cust. Ledger Entry",,"3 Customer No.","@@"&amp;E76,"5 Document Type","Invoice","Posting Date",$J$6,"36 Open",$J$9)</t>
  </si>
  <si>
    <t>=NF(H76,"7 Description")</t>
  </si>
  <si>
    <t>=NF(H76,"6 Document No.")</t>
  </si>
  <si>
    <t>=NF(H76,"37 Due Date")</t>
  </si>
  <si>
    <t>=NF(H76,"4 Posting Date")</t>
  </si>
  <si>
    <t>=NF(H76,"11 Currency code")</t>
  </si>
  <si>
    <t>=IF(NF($H76,"13 Amount")=Q76,0,NF($H76,"13 Amount"))</t>
  </si>
  <si>
    <t>=IF(NF($H76,"14 Remaining Amount")=R76,0,NF($H76,"14 Remaining Amount"))</t>
  </si>
  <si>
    <t>=NF(H76,"17 Amount (LCY)")</t>
  </si>
  <si>
    <t>=NF(H76,"16 Remaining Amt. (LCY)")</t>
  </si>
  <si>
    <t>=IF(H77="","Hide","Show")</t>
  </si>
  <si>
    <t>=D76</t>
  </si>
  <si>
    <t>=NF(H77,"Cust. Ledger Entry no.")</t>
  </si>
  <si>
    <t>=NL("Rows","379 Detailed Cust. Ledg. Entry",,"2 Cust. Ledger Entry No.","@@"&amp;G76,"Entry Type","&lt;&gt;"&amp;"Initial Entry")</t>
  </si>
  <si>
    <t>=NF($H77,"5 Document Type")</t>
  </si>
  <si>
    <t>=NF($H77,"6 Document No.")</t>
  </si>
  <si>
    <t>=NF($H77,"4 Posting Date")</t>
  </si>
  <si>
    <t>=NF(H77,"10 Currency Code")</t>
  </si>
  <si>
    <t>=IF(NF($H77,"7 Amount")=Q77,0,NF($H77,"7 Amount"))</t>
  </si>
  <si>
    <t>=IF(NF($H77,"16 Debit Amount")=R77,0,NF($H77,"16 Debit Amount"))</t>
  </si>
  <si>
    <t>=NF(H77,"8 Amount (LCY)")</t>
  </si>
  <si>
    <t>=NF(H77,"18 Debit Amount (LCY)")</t>
  </si>
  <si>
    <t>=CONCATENATE(I71," - ",I72,"      Remaining Amount  In Local Currency")</t>
  </si>
  <si>
    <t>=SUBTOTAL(9,R76:R79)</t>
  </si>
  <si>
    <t>=NF(H81,"No.")</t>
  </si>
  <si>
    <t>=H81</t>
  </si>
  <si>
    <t>=NF(H81,"Name")</t>
  </si>
  <si>
    <t>=H82</t>
  </si>
  <si>
    <t>=NF(H81,"8 Contact")</t>
  </si>
  <si>
    <t>=H86</t>
  </si>
  <si>
    <t>=IF(NF(H86,"Entry no.")&lt;&gt;"",NF(H86,"Entry no."),0)</t>
  </si>
  <si>
    <t>=NL("Rows=3","21 Cust. Ledger Entry",,"3 Customer No.","@@"&amp;E86,"5 Document Type","Invoice","Posting Date",$J$6,"36 Open",$J$9)</t>
  </si>
  <si>
    <t>=NF(H86,"7 Description")</t>
  </si>
  <si>
    <t>=NF(H86,"6 Document No.")</t>
  </si>
  <si>
    <t>=NF(H86,"37 Due Date")</t>
  </si>
  <si>
    <t>=NF(H86,"4 Posting Date")</t>
  </si>
  <si>
    <t>=NF(H86,"11 Currency code")</t>
  </si>
  <si>
    <t>=IF(NF($H86,"13 Amount")=Q86,0,NF($H86,"13 Amount"))</t>
  </si>
  <si>
    <t>=IF(NF($H86,"14 Remaining Amount")=R86,0,NF($H86,"14 Remaining Amount"))</t>
  </si>
  <si>
    <t>=NF(H86,"17 Amount (LCY)")</t>
  </si>
  <si>
    <t>=NF(H86,"16 Remaining Amt. (LCY)")</t>
  </si>
  <si>
    <t>=IF(H87="","Hide","Show")</t>
  </si>
  <si>
    <t>=D86</t>
  </si>
  <si>
    <t>=NF(H87,"Cust. Ledger Entry no.")</t>
  </si>
  <si>
    <t>=NL("Rows","379 Detailed Cust. Ledg. Entry",,"2 Cust. Ledger Entry No.","@@"&amp;G86,"Entry Type","&lt;&gt;"&amp;"Initial Entry")</t>
  </si>
  <si>
    <t>=NF($H87,"5 Document Type")</t>
  </si>
  <si>
    <t>=NF($H87,"6 Document No.")</t>
  </si>
  <si>
    <t>=NF($H87,"4 Posting Date")</t>
  </si>
  <si>
    <t>=NF(H87,"10 Currency Code")</t>
  </si>
  <si>
    <t>=IF(NF($H87,"7 Amount")=Q87,0,NF($H87,"7 Amount"))</t>
  </si>
  <si>
    <t>=IF(NF($H87,"16 Debit Amount")=R87,0,NF($H87,"16 Debit Amount"))</t>
  </si>
  <si>
    <t>=NF(H87,"8 Amount (LCY)")</t>
  </si>
  <si>
    <t>=NF(H87,"18 Debit Amount (LCY)")</t>
  </si>
  <si>
    <t>=CONCATENATE(I81," - ",I82,"      Remaining Amount  In Local Currency")</t>
  </si>
  <si>
    <t>=SUBTOTAL(9,R86:R89)</t>
  </si>
  <si>
    <t>=NF(H91,"No.")</t>
  </si>
  <si>
    <t>=NF(H91,"Name")</t>
  </si>
  <si>
    <t>=H92</t>
  </si>
  <si>
    <t>=NF(H91,"8 Contact")</t>
  </si>
  <si>
    <t>=IF(NF(H96,"Entry no.")&lt;&gt;"",NF(H96,"Entry no."),0)</t>
  </si>
  <si>
    <t>=NL("Rows=3","21 Cust. Ledger Entry",,"3 Customer No.","@@"&amp;E96,"5 Document Type","Invoice","Posting Date",$J$6,"36 Open",$J$9)</t>
  </si>
  <si>
    <t>=NF(H96,"7 Description")</t>
  </si>
  <si>
    <t>=NF(H96,"6 Document No.")</t>
  </si>
  <si>
    <t>=NF(H96,"37 Due Date")</t>
  </si>
  <si>
    <t>=NF(H96,"4 Posting Date")</t>
  </si>
  <si>
    <t>=NF(H96,"11 Currency code")</t>
  </si>
  <si>
    <t>=IF(NF($H96,"13 Amount")=Q96,0,NF($H96,"13 Amount"))</t>
  </si>
  <si>
    <t>=IF(NF($H96,"14 Remaining Amount")=R96,0,NF($H96,"14 Remaining Amount"))</t>
  </si>
  <si>
    <t>=NF(H96,"17 Amount (LCY)")</t>
  </si>
  <si>
    <t>=NF(H96,"16 Remaining Amt. (LCY)")</t>
  </si>
  <si>
    <t>=IF(H97="","Hide","Show")</t>
  </si>
  <si>
    <t>=D96</t>
  </si>
  <si>
    <t>=NF(H97,"Cust. Ledger Entry no.")</t>
  </si>
  <si>
    <t>=NL("Rows","379 Detailed Cust. Ledg. Entry",,"2 Cust. Ledger Entry No.","@@"&amp;G96,"Entry Type","&lt;&gt;"&amp;"Initial Entry")</t>
  </si>
  <si>
    <t>=NF($H97,"5 Document Type")</t>
  </si>
  <si>
    <t>=NF($H97,"6 Document No.")</t>
  </si>
  <si>
    <t>=NF($H97,"4 Posting Date")</t>
  </si>
  <si>
    <t>=NF(H97,"10 Currency Code")</t>
  </si>
  <si>
    <t>=IF(NF($H97,"7 Amount")=Q97,0,NF($H97,"7 Amount"))</t>
  </si>
  <si>
    <t>=IF(NF($H97,"16 Debit Amount")=R97,0,NF($H97,"16 Debit Amount"))</t>
  </si>
  <si>
    <t>=NF(H97,"8 Amount (LCY)")</t>
  </si>
  <si>
    <t>=NF(H97,"18 Debit Amount (LCY)")</t>
  </si>
  <si>
    <t>=CONCATENATE(I91," - ",I92,"      Remaining Amount  In Local Currency")</t>
  </si>
  <si>
    <t>=SUBTOTAL(9,R96:R99)</t>
  </si>
  <si>
    <t>=NF(H101,"No.")</t>
  </si>
  <si>
    <t>=NF(H101,"Name")</t>
  </si>
  <si>
    <t>=NF(H101,"8 Contact")</t>
  </si>
  <si>
    <t>=IF(NF(H106,"Entry no.")&lt;&gt;"",NF(H106,"Entry no."),0)</t>
  </si>
  <si>
    <t>=NL("Rows=3","21 Cust. Ledger Entry",,"3 Customer No.","@@"&amp;E106,"5 Document Type","Invoice","Posting Date",$J$6,"36 Open",$J$9)</t>
  </si>
  <si>
    <t>=NF(H106,"7 Description")</t>
  </si>
  <si>
    <t>=NF(H106,"6 Document No.")</t>
  </si>
  <si>
    <t>=NF(H106,"37 Due Date")</t>
  </si>
  <si>
    <t>=NF(H106,"4 Posting Date")</t>
  </si>
  <si>
    <t>=NF(H106,"11 Currency code")</t>
  </si>
  <si>
    <t>=IF(NF($H106,"13 Amount")=Q106,0,NF($H106,"13 Amount"))</t>
  </si>
  <si>
    <t>=IF(NF($H106,"14 Remaining Amount")=R106,0,NF($H106,"14 Remaining Amount"))</t>
  </si>
  <si>
    <t>=NF(H106,"17 Amount (LCY)")</t>
  </si>
  <si>
    <t>=NF(H106,"16 Remaining Amt. (LCY)")</t>
  </si>
  <si>
    <t>=IF(H107="","Hide","Show")</t>
  </si>
  <si>
    <t>=D106</t>
  </si>
  <si>
    <t>=NF(H107,"Cust. Ledger Entry no.")</t>
  </si>
  <si>
    <t>=NL("Rows","379 Detailed Cust. Ledg. Entry",,"2 Cust. Ledger Entry No.","@@"&amp;G106,"Entry Type","&lt;&gt;"&amp;"Initial Entry")</t>
  </si>
  <si>
    <t>=NF($H107,"5 Document Type")</t>
  </si>
  <si>
    <t>=NF($H107,"6 Document No.")</t>
  </si>
  <si>
    <t>=NF($H107,"4 Posting Date")</t>
  </si>
  <si>
    <t>=NF(H107,"10 Currency Code")</t>
  </si>
  <si>
    <t>=IF(NF($H107,"7 Amount")=Q107,0,NF($H107,"7 Amount"))</t>
  </si>
  <si>
    <t>=IF(NF($H107,"16 Debit Amount")=R107,0,NF($H107,"16 Debit Amount"))</t>
  </si>
  <si>
    <t>=NF(H107,"8 Amount (LCY)")</t>
  </si>
  <si>
    <t>=NF(H107,"18 Debit Amount (LCY)")</t>
  </si>
  <si>
    <t>=CONCATENATE(I101," - ",I102,"      Remaining Amount  In Local Currency")</t>
  </si>
  <si>
    <t>=SUBTOTAL(9,R106:R109)</t>
  </si>
  <si>
    <t>=NF(H111,"No.")</t>
  </si>
  <si>
    <t>=NF(H111,"Name")</t>
  </si>
  <si>
    <t>=NF(H111,"8 Contact")</t>
  </si>
  <si>
    <t>=IF(NF(H116,"Entry no.")&lt;&gt;"",NF(H116,"Entry no."),0)</t>
  </si>
  <si>
    <t>=NL("Rows=3","21 Cust. Ledger Entry",,"3 Customer No.","@@"&amp;E116,"5 Document Type","Invoice","Posting Date",$J$6,"36 Open",$J$9)</t>
  </si>
  <si>
    <t>=NF(H116,"7 Description")</t>
  </si>
  <si>
    <t>=NF(H116,"6 Document No.")</t>
  </si>
  <si>
    <t>=NF(H116,"37 Due Date")</t>
  </si>
  <si>
    <t>=NF(H116,"4 Posting Date")</t>
  </si>
  <si>
    <t>=NF(H116,"11 Currency code")</t>
  </si>
  <si>
    <t>=IF(NF($H116,"13 Amount")=Q116,0,NF($H116,"13 Amount"))</t>
  </si>
  <si>
    <t>=IF(NF($H116,"14 Remaining Amount")=R116,0,NF($H116,"14 Remaining Amount"))</t>
  </si>
  <si>
    <t>=NF(H116,"17 Amount (LCY)")</t>
  </si>
  <si>
    <t>=NF(H116,"16 Remaining Amt. (LCY)")</t>
  </si>
  <si>
    <t>=IF(H117="","Hide","Show")</t>
  </si>
  <si>
    <t>=D116</t>
  </si>
  <si>
    <t>=NF(H117,"Cust. Ledger Entry no.")</t>
  </si>
  <si>
    <t>=NL("Rows","379 Detailed Cust. Ledg. Entry",,"2 Cust. Ledger Entry No.","@@"&amp;G116,"Entry Type","&lt;&gt;"&amp;"Initial Entry")</t>
  </si>
  <si>
    <t>=NF($H117,"5 Document Type")</t>
  </si>
  <si>
    <t>=NF($H117,"6 Document No.")</t>
  </si>
  <si>
    <t>=NF($H117,"4 Posting Date")</t>
  </si>
  <si>
    <t>=NF(H117,"10 Currency Code")</t>
  </si>
  <si>
    <t>=IF(NF($H117,"7 Amount")=Q117,0,NF($H117,"7 Amount"))</t>
  </si>
  <si>
    <t>=IF(NF($H117,"16 Debit Amount")=R117,0,NF($H117,"16 Debit Amount"))</t>
  </si>
  <si>
    <t>=NF(H117,"8 Amount (LCY)")</t>
  </si>
  <si>
    <t>=NF(H117,"18 Debit Amount (LCY)")</t>
  </si>
  <si>
    <t>=H119</t>
  </si>
  <si>
    <t>=IF(NF(H119,"Entry no.")&lt;&gt;"",NF(H119,"Entry no."),0)</t>
  </si>
  <si>
    <t>=NF(H119,"7 Description")</t>
  </si>
  <si>
    <t>=NF(H119,"6 Document No.")</t>
  </si>
  <si>
    <t>=NF(H119,"37 Due Date")</t>
  </si>
  <si>
    <t>=NF(H119,"4 Posting Date")</t>
  </si>
  <si>
    <t>=NF(H119,"11 Currency code")</t>
  </si>
  <si>
    <t>=IF(NF($H119,"13 Amount")=Q119,0,NF($H119,"13 Amount"))</t>
  </si>
  <si>
    <t>=IF(NF($H119,"14 Remaining Amount")=R119,0,NF($H119,"14 Remaining Amount"))</t>
  </si>
  <si>
    <t>=NF(H119,"17 Amount (LCY)")</t>
  </si>
  <si>
    <t>=NF(H119,"16 Remaining Amt. (LCY)")</t>
  </si>
  <si>
    <t>=IF(H120="","Hide","Show")</t>
  </si>
  <si>
    <t>=D119</t>
  </si>
  <si>
    <t>=E119</t>
  </si>
  <si>
    <t>=NF(H120,"Cust. Ledger Entry no.")</t>
  </si>
  <si>
    <t>=NL("Rows","379 Detailed Cust. Ledg. Entry",,"2 Cust. Ledger Entry No.","@@"&amp;G119,"Entry Type","&lt;&gt;"&amp;"Initial Entry")</t>
  </si>
  <si>
    <t>=NF($H120,"5 Document Type")</t>
  </si>
  <si>
    <t>=NF($H120,"6 Document No.")</t>
  </si>
  <si>
    <t>=NF($H120,"4 Posting Date")</t>
  </si>
  <si>
    <t>=NF(H120,"10 Currency Code")</t>
  </si>
  <si>
    <t>=IF(NF($H120,"7 Amount")=Q120,0,NF($H120,"7 Amount"))</t>
  </si>
  <si>
    <t>=IF(NF($H120,"16 Debit Amount")=R120,0,NF($H120,"16 Debit Amount"))</t>
  </si>
  <si>
    <t>=NF(H120,"8 Amount (LCY)")</t>
  </si>
  <si>
    <t>=NF(H120,"18 Debit Amount (LCY)")</t>
  </si>
  <si>
    <t>=IF(H123="","Hide","Show")</t>
  </si>
  <si>
    <t>=CONCATENATE(I111," - ",I112,"      Remaining Amount  In Local Currency")</t>
  </si>
  <si>
    <t>=SUBTOTAL(9,R116:R125)</t>
  </si>
  <si>
    <t>=IF(H133="","Hide","Show")</t>
  </si>
  <si>
    <t>=IF(H143="","Hide","Show")</t>
  </si>
  <si>
    <t>Auto+Hide+Values+Formulas=Sheet33,Sheet30,Sheet31+FormulasOnly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</si>
</sst>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_);[Red]\(#,##0.00\);&quot;-&quot;"/>
  </numFmts>
  <fonts count="25"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Segoe UI"/>
      <family val="2"/>
    </font>
    <font>
      <b/>
      <sz val="11"/>
      <color theme="1"/>
      <name val="Segoe UI"/>
      <family val="2"/>
    </font>
    <font>
      <b/>
      <sz val="11"/>
      <color rgb="FFFFFFFF"/>
      <name val="Segoe UI"/>
      <family val="2"/>
    </font>
    <font>
      <sz val="10"/>
      <color theme="1"/>
      <name val="Segoe UI"/>
      <family val="2"/>
    </font>
    <font>
      <b/>
      <sz val="11"/>
      <name val="Segoe UI"/>
      <family val="2"/>
    </font>
    <font>
      <b/>
      <sz val="12"/>
      <color theme="1"/>
      <name val="Segoe UI"/>
      <family val="2"/>
    </font>
    <font>
      <b/>
      <sz val="12"/>
      <color theme="4" tint="-0.499984740745262"/>
      <name val="Segoe UI"/>
      <family val="2"/>
    </font>
    <font>
      <sz val="10"/>
      <name val="Arial"/>
      <family val="2"/>
    </font>
    <font>
      <u/>
      <sz val="10"/>
      <color indexed="12"/>
      <name val="Arial"/>
      <family val="2"/>
    </font>
    <font>
      <sz val="11"/>
      <color theme="1"/>
      <name val="Calibri"/>
      <family val="2"/>
      <scheme val="minor"/>
    </font>
    <font>
      <sz val="11"/>
      <color theme="0" tint="-0.34998626667073579"/>
      <name val="Segoe UI"/>
      <family val="2"/>
    </font>
    <font>
      <sz val="11"/>
      <color rgb="FFFF0000"/>
      <name val="Segoe UI"/>
      <family val="2"/>
    </font>
    <font>
      <sz val="11"/>
      <color theme="1" tint="0.34998626667073579"/>
      <name val="Segoe UI"/>
      <family val="2"/>
    </font>
    <font>
      <sz val="10"/>
      <color theme="1"/>
      <name val="Calibri"/>
      <family val="2"/>
      <scheme val="minor"/>
    </font>
    <font>
      <sz val="11"/>
      <name val="Segoe UI"/>
      <family val="2"/>
    </font>
    <font>
      <sz val="11"/>
      <color theme="1" tint="0.499984740745262"/>
      <name val="Segoe UI"/>
      <family val="2"/>
    </font>
    <font>
      <b/>
      <sz val="11"/>
      <color theme="1" tint="0.499984740745262"/>
      <name val="Segoe UI"/>
      <family val="2"/>
    </font>
    <font>
      <b/>
      <sz val="11"/>
      <color theme="4" tint="-0.499984740745262"/>
      <name val="Segoe UI"/>
      <family val="2"/>
    </font>
    <font>
      <b/>
      <u/>
      <sz val="18"/>
      <color theme="9" tint="-0.499984740745262"/>
      <name val="Segoe UI"/>
      <family val="2"/>
    </font>
    <font>
      <u/>
      <sz val="10"/>
      <color indexed="12"/>
      <name val="Segoe UI"/>
      <family val="2"/>
    </font>
    <font>
      <b/>
      <sz val="20"/>
      <color rgb="FFDA4848"/>
      <name val="Segoe UI"/>
      <family val="2"/>
    </font>
    <font>
      <b/>
      <sz val="10"/>
      <color theme="1"/>
      <name val="Segoe UI"/>
      <family val="2"/>
    </font>
  </fonts>
  <fills count="8">
    <fill>
      <patternFill patternType="none"/>
    </fill>
    <fill>
      <patternFill patternType="gray125"/>
    </fill>
    <fill>
      <patternFill patternType="solid">
        <fgColor theme="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8F7F2"/>
        <bgColor indexed="64"/>
      </patternFill>
    </fill>
  </fills>
  <borders count="12">
    <border>
      <left/>
      <right/>
      <top/>
      <bottom/>
      <diagonal/>
    </border>
    <border>
      <left/>
      <right/>
      <top/>
      <bottom style="thick">
        <color theme="4"/>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style="thin">
        <color theme="0" tint="-0.34998626667073579"/>
      </bottom>
      <diagonal/>
    </border>
    <border>
      <left/>
      <right/>
      <top/>
      <bottom style="thin">
        <color theme="0" tint="-0.34998626667073579"/>
      </bottom>
      <diagonal/>
    </border>
  </borders>
  <cellStyleXfs count="7">
    <xf numFmtId="0" fontId="0" fillId="0" borderId="0"/>
    <xf numFmtId="0" fontId="1" fillId="0" borderId="1" applyNumberFormat="0" applyFill="0" applyAlignment="0" applyProtection="0"/>
    <xf numFmtId="0" fontId="2" fillId="2" borderId="0" applyNumberFormat="0" applyBorder="0" applyAlignment="0" applyProtection="0"/>
    <xf numFmtId="0" fontId="10" fillId="0" borderId="0"/>
    <xf numFmtId="44" fontId="12" fillId="0" borderId="0" applyFont="0" applyFill="0" applyBorder="0" applyAlignment="0" applyProtection="0"/>
    <xf numFmtId="0" fontId="10" fillId="0" borderId="0"/>
    <xf numFmtId="0" fontId="11" fillId="0" borderId="0" applyNumberFormat="0" applyFill="0" applyBorder="0" applyAlignment="0" applyProtection="0">
      <alignment vertical="top"/>
      <protection locked="0"/>
    </xf>
  </cellStyleXfs>
  <cellXfs count="91">
    <xf numFmtId="0" fontId="0" fillId="0" borderId="0" xfId="0"/>
    <xf numFmtId="0" fontId="3" fillId="0" borderId="0" xfId="0" applyFont="1"/>
    <xf numFmtId="0" fontId="5" fillId="3" borderId="0" xfId="0" applyNumberFormat="1" applyFont="1" applyFill="1" applyAlignment="1">
      <alignment horizontal="left"/>
    </xf>
    <xf numFmtId="0" fontId="3" fillId="0" borderId="0" xfId="0" applyFont="1" applyAlignment="1">
      <alignment horizontal="left"/>
    </xf>
    <xf numFmtId="0" fontId="7" fillId="0" borderId="0" xfId="0" applyFont="1" applyFill="1" applyBorder="1"/>
    <xf numFmtId="0" fontId="6" fillId="0" borderId="0" xfId="0" applyFont="1"/>
    <xf numFmtId="0" fontId="3" fillId="0" borderId="0" xfId="0" applyFont="1" applyFill="1" applyBorder="1"/>
    <xf numFmtId="0" fontId="3" fillId="0" borderId="0" xfId="0" applyFont="1" applyFill="1" applyBorder="1" applyAlignment="1">
      <alignment horizontal="left"/>
    </xf>
    <xf numFmtId="0" fontId="8" fillId="0" borderId="0" xfId="0" applyFont="1" applyAlignment="1">
      <alignment horizontal="left"/>
    </xf>
    <xf numFmtId="14" fontId="8" fillId="0" borderId="0" xfId="0" applyNumberFormat="1" applyFont="1" applyAlignment="1">
      <alignment horizontal="left"/>
    </xf>
    <xf numFmtId="0" fontId="4" fillId="0" borderId="0" xfId="0" applyFont="1" applyFill="1" applyBorder="1"/>
    <xf numFmtId="0" fontId="3" fillId="4" borderId="0" xfId="0" applyFont="1" applyFill="1" applyBorder="1"/>
    <xf numFmtId="0" fontId="3" fillId="4" borderId="0" xfId="0" applyFont="1" applyFill="1"/>
    <xf numFmtId="0" fontId="4" fillId="0" borderId="0" xfId="0" applyFont="1" applyAlignment="1">
      <alignment horizontal="right"/>
    </xf>
    <xf numFmtId="0" fontId="4" fillId="5" borderId="0" xfId="0" applyFont="1" applyFill="1" applyBorder="1" applyAlignment="1">
      <alignment horizontal="left"/>
    </xf>
    <xf numFmtId="14" fontId="8" fillId="0" borderId="0" xfId="0" applyNumberFormat="1" applyFont="1" applyAlignment="1">
      <alignment horizontal="right"/>
    </xf>
    <xf numFmtId="43" fontId="3" fillId="0" borderId="0" xfId="0" applyNumberFormat="1" applyFont="1" applyFill="1" applyBorder="1"/>
    <xf numFmtId="42" fontId="8" fillId="0" borderId="0" xfId="0" applyNumberFormat="1" applyFont="1" applyAlignment="1">
      <alignment horizontal="right"/>
    </xf>
    <xf numFmtId="14" fontId="6" fillId="0" borderId="0" xfId="0" applyNumberFormat="1" applyFont="1"/>
    <xf numFmtId="0" fontId="16" fillId="0" borderId="0" xfId="0" applyFont="1"/>
    <xf numFmtId="0" fontId="0" fillId="0" borderId="0" xfId="0" applyFont="1"/>
    <xf numFmtId="0" fontId="8" fillId="0" borderId="0" xfId="0" applyNumberFormat="1" applyFont="1" applyAlignment="1">
      <alignment horizontal="left"/>
    </xf>
    <xf numFmtId="14" fontId="3" fillId="0" borderId="0" xfId="0" applyNumberFormat="1" applyFont="1"/>
    <xf numFmtId="14" fontId="14" fillId="0" borderId="0" xfId="0" applyNumberFormat="1" applyFont="1"/>
    <xf numFmtId="14" fontId="7" fillId="0" borderId="0" xfId="0" applyNumberFormat="1" applyFont="1" applyFill="1" applyBorder="1"/>
    <xf numFmtId="42" fontId="3" fillId="5" borderId="2" xfId="0" applyNumberFormat="1" applyFont="1" applyFill="1" applyBorder="1"/>
    <xf numFmtId="0" fontId="9" fillId="5" borderId="3" xfId="2" applyFont="1" applyFill="1" applyBorder="1"/>
    <xf numFmtId="0" fontId="9" fillId="5" borderId="5" xfId="2" applyFont="1" applyFill="1" applyBorder="1"/>
    <xf numFmtId="0" fontId="4" fillId="5" borderId="6" xfId="0" applyFont="1" applyFill="1" applyBorder="1" applyAlignment="1">
      <alignment horizontal="left"/>
    </xf>
    <xf numFmtId="0" fontId="3" fillId="5" borderId="7" xfId="0" applyFont="1" applyFill="1" applyBorder="1"/>
    <xf numFmtId="0" fontId="3" fillId="5" borderId="8" xfId="0" applyFont="1" applyFill="1" applyBorder="1" applyAlignment="1">
      <alignment horizontal="left"/>
    </xf>
    <xf numFmtId="0" fontId="3" fillId="5" borderId="8" xfId="0" applyFont="1" applyFill="1" applyBorder="1"/>
    <xf numFmtId="14" fontId="7" fillId="5" borderId="8" xfId="0" applyNumberFormat="1" applyFont="1" applyFill="1" applyBorder="1"/>
    <xf numFmtId="0" fontId="4" fillId="5" borderId="2" xfId="0" applyFont="1" applyFill="1" applyBorder="1" applyAlignment="1">
      <alignment horizontal="left"/>
    </xf>
    <xf numFmtId="0" fontId="4" fillId="5" borderId="2" xfId="0" applyFont="1" applyFill="1" applyBorder="1"/>
    <xf numFmtId="14" fontId="4" fillId="5" borderId="2" xfId="0" applyNumberFormat="1" applyFont="1" applyFill="1" applyBorder="1"/>
    <xf numFmtId="42" fontId="4" fillId="5" borderId="2" xfId="0" applyNumberFormat="1" applyFont="1" applyFill="1" applyBorder="1"/>
    <xf numFmtId="41" fontId="3" fillId="0" borderId="0" xfId="0" applyNumberFormat="1" applyFont="1"/>
    <xf numFmtId="41" fontId="3" fillId="0" borderId="0" xfId="0" applyNumberFormat="1" applyFont="1" applyAlignment="1">
      <alignment horizontal="left"/>
    </xf>
    <xf numFmtId="41" fontId="4" fillId="5" borderId="2" xfId="0" applyNumberFormat="1" applyFont="1" applyFill="1" applyBorder="1"/>
    <xf numFmtId="41" fontId="4" fillId="5" borderId="0" xfId="0" applyNumberFormat="1" applyFont="1" applyFill="1" applyBorder="1" applyAlignment="1">
      <alignment horizontal="left"/>
    </xf>
    <xf numFmtId="41" fontId="7" fillId="0" borderId="0" xfId="0" applyNumberFormat="1" applyFont="1" applyFill="1" applyBorder="1"/>
    <xf numFmtId="164" fontId="9" fillId="5" borderId="8" xfId="0" applyNumberFormat="1" applyFont="1" applyFill="1" applyBorder="1" applyAlignment="1">
      <alignment horizontal="right"/>
    </xf>
    <xf numFmtId="41" fontId="4" fillId="5" borderId="4" xfId="0" applyNumberFormat="1" applyFont="1" applyFill="1" applyBorder="1"/>
    <xf numFmtId="0" fontId="0" fillId="0" borderId="0" xfId="0" quotePrefix="1"/>
    <xf numFmtId="164" fontId="9" fillId="5" borderId="9" xfId="0" applyNumberFormat="1" applyFont="1" applyFill="1" applyBorder="1" applyAlignment="1">
      <alignment horizontal="left" indent="1"/>
    </xf>
    <xf numFmtId="0" fontId="20" fillId="7" borderId="0" xfId="0" applyFont="1" applyFill="1" applyBorder="1"/>
    <xf numFmtId="0" fontId="15" fillId="7" borderId="0" xfId="0" applyFont="1" applyFill="1" applyBorder="1"/>
    <xf numFmtId="41" fontId="4" fillId="5" borderId="0" xfId="0" applyNumberFormat="1" applyFont="1" applyFill="1" applyBorder="1" applyAlignment="1">
      <alignment horizontal="centerContinuous"/>
    </xf>
    <xf numFmtId="0" fontId="4" fillId="5" borderId="6" xfId="0" applyFont="1" applyFill="1" applyBorder="1" applyAlignment="1">
      <alignment horizontal="centerContinuous"/>
    </xf>
    <xf numFmtId="0" fontId="4" fillId="5" borderId="0" xfId="0" applyFont="1" applyFill="1" applyBorder="1" applyAlignment="1">
      <alignment horizontal="centerContinuous"/>
    </xf>
    <xf numFmtId="0" fontId="4" fillId="7" borderId="5" xfId="0" applyFont="1" applyFill="1" applyBorder="1"/>
    <xf numFmtId="0" fontId="20" fillId="7" borderId="0" xfId="0" applyFont="1" applyFill="1" applyBorder="1" applyAlignment="1">
      <alignment horizontal="left"/>
    </xf>
    <xf numFmtId="14" fontId="20" fillId="7" borderId="0" xfId="0" applyNumberFormat="1" applyFont="1" applyFill="1" applyBorder="1"/>
    <xf numFmtId="0" fontId="3" fillId="7" borderId="5" xfId="0" applyFont="1" applyFill="1" applyBorder="1"/>
    <xf numFmtId="0" fontId="20" fillId="7" borderId="11" xfId="0" applyFont="1" applyFill="1" applyBorder="1" applyAlignment="1">
      <alignment horizontal="left"/>
    </xf>
    <xf numFmtId="14" fontId="20" fillId="7" borderId="11" xfId="0" applyNumberFormat="1" applyFont="1" applyFill="1" applyBorder="1" applyAlignment="1">
      <alignment horizontal="left"/>
    </xf>
    <xf numFmtId="0" fontId="13" fillId="7" borderId="5" xfId="0" applyFont="1" applyFill="1" applyBorder="1"/>
    <xf numFmtId="0" fontId="17" fillId="7" borderId="0" xfId="0" applyFont="1" applyFill="1" applyBorder="1"/>
    <xf numFmtId="14" fontId="17" fillId="7" borderId="0" xfId="0" applyNumberFormat="1" applyFont="1" applyFill="1" applyBorder="1"/>
    <xf numFmtId="14" fontId="15" fillId="7" borderId="0" xfId="0" applyNumberFormat="1" applyFont="1" applyFill="1" applyBorder="1"/>
    <xf numFmtId="0" fontId="21" fillId="0" borderId="0" xfId="1" applyFont="1" applyBorder="1"/>
    <xf numFmtId="164" fontId="17" fillId="7" borderId="6" xfId="4" applyNumberFormat="1" applyFont="1" applyFill="1" applyBorder="1" applyAlignment="1">
      <alignment horizontal="right" indent="1"/>
    </xf>
    <xf numFmtId="0" fontId="17" fillId="6" borderId="0" xfId="0" applyNumberFormat="1" applyFont="1" applyFill="1" applyBorder="1" applyAlignment="1">
      <alignment horizontal="right" indent="1"/>
    </xf>
    <xf numFmtId="164" fontId="17" fillId="6" borderId="0" xfId="0" applyNumberFormat="1" applyFont="1" applyFill="1" applyBorder="1" applyAlignment="1">
      <alignment horizontal="right" indent="1"/>
    </xf>
    <xf numFmtId="164" fontId="17" fillId="7" borderId="0" xfId="4" applyNumberFormat="1" applyFont="1" applyFill="1" applyBorder="1" applyAlignment="1">
      <alignment horizontal="right" indent="1"/>
    </xf>
    <xf numFmtId="164" fontId="17" fillId="7" borderId="6" xfId="4" applyNumberFormat="1" applyFont="1" applyFill="1" applyBorder="1" applyAlignment="1">
      <alignment horizontal="right" indent="2"/>
    </xf>
    <xf numFmtId="164" fontId="17" fillId="6" borderId="0" xfId="4" applyNumberFormat="1" applyFont="1" applyFill="1" applyBorder="1" applyAlignment="1">
      <alignment horizontal="right" indent="1"/>
    </xf>
    <xf numFmtId="0" fontId="15" fillId="6" borderId="0" xfId="0" applyFont="1" applyFill="1" applyBorder="1" applyAlignment="1">
      <alignment horizontal="right" indent="1"/>
    </xf>
    <xf numFmtId="164" fontId="18" fillId="6" borderId="0" xfId="4" applyNumberFormat="1" applyFont="1" applyFill="1" applyBorder="1" applyAlignment="1">
      <alignment horizontal="right" indent="1"/>
    </xf>
    <xf numFmtId="164" fontId="19" fillId="6" borderId="0" xfId="0" applyNumberFormat="1" applyFont="1" applyFill="1" applyBorder="1" applyAlignment="1">
      <alignment horizontal="right" indent="1"/>
    </xf>
    <xf numFmtId="164" fontId="18" fillId="7" borderId="0" xfId="4" applyNumberFormat="1" applyFont="1" applyFill="1" applyBorder="1" applyAlignment="1">
      <alignment horizontal="right" indent="1"/>
    </xf>
    <xf numFmtId="164" fontId="18" fillId="7" borderId="6" xfId="0" applyNumberFormat="1" applyFont="1" applyFill="1" applyBorder="1" applyAlignment="1">
      <alignment horizontal="right" indent="1"/>
    </xf>
    <xf numFmtId="0" fontId="20" fillId="6" borderId="0" xfId="0" applyFont="1" applyFill="1" applyBorder="1" applyAlignment="1">
      <alignment horizontal="right" indent="2"/>
    </xf>
    <xf numFmtId="42" fontId="20" fillId="6" borderId="0" xfId="0" applyNumberFormat="1" applyFont="1" applyFill="1" applyBorder="1" applyAlignment="1">
      <alignment horizontal="right" indent="2"/>
    </xf>
    <xf numFmtId="41" fontId="20" fillId="7" borderId="0" xfId="0" applyNumberFormat="1" applyFont="1" applyFill="1" applyBorder="1" applyAlignment="1">
      <alignment horizontal="right" indent="2"/>
    </xf>
    <xf numFmtId="41" fontId="20" fillId="7" borderId="6" xfId="0" applyNumberFormat="1" applyFont="1" applyFill="1" applyBorder="1" applyAlignment="1">
      <alignment horizontal="right" indent="2"/>
    </xf>
    <xf numFmtId="0" fontId="20" fillId="6" borderId="11" xfId="0" applyFont="1" applyFill="1" applyBorder="1" applyAlignment="1">
      <alignment horizontal="right" indent="2"/>
    </xf>
    <xf numFmtId="42" fontId="20" fillId="6" borderId="11" xfId="4" applyNumberFormat="1" applyFont="1" applyFill="1" applyBorder="1" applyAlignment="1">
      <alignment horizontal="right" indent="2"/>
    </xf>
    <xf numFmtId="42" fontId="20" fillId="6" borderId="11" xfId="0" applyNumberFormat="1" applyFont="1" applyFill="1" applyBorder="1" applyAlignment="1">
      <alignment horizontal="right" indent="2"/>
    </xf>
    <xf numFmtId="41" fontId="20" fillId="7" borderId="11" xfId="4" applyNumberFormat="1" applyFont="1" applyFill="1" applyBorder="1" applyAlignment="1">
      <alignment horizontal="right" indent="2"/>
    </xf>
    <xf numFmtId="41" fontId="20" fillId="7" borderId="10" xfId="4" applyNumberFormat="1" applyFont="1" applyFill="1" applyBorder="1" applyAlignment="1">
      <alignment horizontal="right" indent="2"/>
    </xf>
    <xf numFmtId="164" fontId="17" fillId="6" borderId="0" xfId="4" applyNumberFormat="1" applyFont="1" applyFill="1" applyBorder="1" applyAlignment="1">
      <alignment horizontal="right" indent="2"/>
    </xf>
    <xf numFmtId="164" fontId="17" fillId="6" borderId="0" xfId="0" applyNumberFormat="1" applyFont="1" applyFill="1" applyBorder="1" applyAlignment="1">
      <alignment horizontal="right" indent="2"/>
    </xf>
    <xf numFmtId="164" fontId="17" fillId="7" borderId="0" xfId="4" applyNumberFormat="1" applyFont="1" applyFill="1" applyBorder="1" applyAlignment="1">
      <alignment horizontal="right" indent="2"/>
    </xf>
    <xf numFmtId="165" fontId="17" fillId="7" borderId="6" xfId="4" applyNumberFormat="1" applyFont="1" applyFill="1" applyBorder="1" applyAlignment="1">
      <alignment horizontal="right" indent="2"/>
    </xf>
    <xf numFmtId="0" fontId="6" fillId="0" borderId="0" xfId="0" applyFont="1" applyAlignment="1">
      <alignment vertical="top"/>
    </xf>
    <xf numFmtId="0" fontId="6" fillId="0" borderId="0" xfId="0" applyFont="1" applyAlignment="1">
      <alignment vertical="top" wrapText="1"/>
    </xf>
    <xf numFmtId="0" fontId="23" fillId="0" borderId="0" xfId="0" applyFont="1" applyAlignment="1">
      <alignment vertical="top"/>
    </xf>
    <xf numFmtId="0" fontId="24" fillId="0" borderId="0" xfId="0" applyFont="1" applyAlignment="1">
      <alignment vertical="top"/>
    </xf>
    <xf numFmtId="0" fontId="22" fillId="0" borderId="0" xfId="6" applyFont="1" applyAlignment="1" applyProtection="1">
      <alignment vertical="top"/>
    </xf>
  </cellXfs>
  <cellStyles count="7">
    <cellStyle name="Accent1" xfId="2" builtinId="29"/>
    <cellStyle name="Currency" xfId="4" builtinId="4"/>
    <cellStyle name="Heading 1" xfId="1" builtinId="16"/>
    <cellStyle name="Hyperlink 3" xfId="6"/>
    <cellStyle name="Normal" xfId="0" builtinId="0"/>
    <cellStyle name="Normal 2" xfId="3"/>
    <cellStyle name="Normal 2 4" xfId="5"/>
  </cellStyles>
  <dxfs count="0"/>
  <tableStyles count="0" defaultTableStyle="TableStyleMedium2" defaultPivotStyle="PivotStyleLight16"/>
  <colors>
    <mruColors>
      <color rgb="FFF8F7F2"/>
      <color rgb="FFF47E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tabSelected="1" topLeftCell="B2" workbookViewId="0"/>
  </sheetViews>
  <sheetFormatPr defaultColWidth="9.140625" defaultRowHeight="14.25" x14ac:dyDescent="0.25"/>
  <cols>
    <col min="1" max="1" width="4.42578125" style="5" hidden="1" customWidth="1"/>
    <col min="2" max="2" width="9.140625" style="5"/>
    <col min="3" max="3" width="32" style="86" bestFit="1" customWidth="1"/>
    <col min="4" max="4" width="77.28515625" style="87" customWidth="1"/>
    <col min="5" max="5" width="10.140625" style="86" customWidth="1"/>
    <col min="6" max="16384" width="9.140625" style="5"/>
  </cols>
  <sheetData>
    <row r="1" spans="1:5" ht="14.25" hidden="1" customHeight="1" x14ac:dyDescent="0.25">
      <c r="A1" s="5" t="s">
        <v>13</v>
      </c>
    </row>
    <row r="7" spans="1:5" ht="30.75" x14ac:dyDescent="0.25">
      <c r="C7" s="88" t="s">
        <v>14</v>
      </c>
    </row>
    <row r="9" spans="1:5" ht="57" x14ac:dyDescent="0.25">
      <c r="C9" s="89" t="s">
        <v>15</v>
      </c>
      <c r="D9" s="87" t="s">
        <v>75</v>
      </c>
    </row>
    <row r="10" spans="1:5" x14ac:dyDescent="0.25">
      <c r="C10" s="89"/>
    </row>
    <row r="11" spans="1:5" x14ac:dyDescent="0.25">
      <c r="C11" s="89" t="s">
        <v>60</v>
      </c>
      <c r="D11" s="87" t="s">
        <v>61</v>
      </c>
    </row>
    <row r="12" spans="1:5" x14ac:dyDescent="0.25">
      <c r="C12" s="89"/>
    </row>
    <row r="13" spans="1:5" ht="42.75" x14ac:dyDescent="0.25">
      <c r="C13" s="89" t="s">
        <v>16</v>
      </c>
      <c r="D13" s="87" t="s">
        <v>62</v>
      </c>
      <c r="E13" s="90" t="s">
        <v>53</v>
      </c>
    </row>
    <row r="14" spans="1:5" ht="16.5" customHeight="1" x14ac:dyDescent="0.25">
      <c r="C14" s="89"/>
    </row>
    <row r="15" spans="1:5" ht="28.5" x14ac:dyDescent="0.25">
      <c r="C15" s="89" t="s">
        <v>17</v>
      </c>
      <c r="D15" s="87" t="s">
        <v>63</v>
      </c>
      <c r="E15" s="90" t="s">
        <v>18</v>
      </c>
    </row>
    <row r="16" spans="1:5" x14ac:dyDescent="0.25">
      <c r="C16" s="89"/>
    </row>
    <row r="17" spans="3:5" ht="57" x14ac:dyDescent="0.25">
      <c r="C17" s="89" t="s">
        <v>59</v>
      </c>
      <c r="D17" s="87" t="s">
        <v>64</v>
      </c>
      <c r="E17" s="90" t="s">
        <v>65</v>
      </c>
    </row>
    <row r="18" spans="3:5" x14ac:dyDescent="0.25">
      <c r="C18" s="89"/>
    </row>
    <row r="19" spans="3:5" ht="28.5" x14ac:dyDescent="0.25">
      <c r="C19" s="89" t="s">
        <v>19</v>
      </c>
      <c r="D19" s="87" t="s">
        <v>66</v>
      </c>
      <c r="E19" s="90" t="s">
        <v>67</v>
      </c>
    </row>
    <row r="20" spans="3:5" x14ac:dyDescent="0.25">
      <c r="C20" s="89"/>
    </row>
    <row r="21" spans="3:5" x14ac:dyDescent="0.25">
      <c r="C21" s="89" t="s">
        <v>20</v>
      </c>
      <c r="D21" s="87" t="s">
        <v>68</v>
      </c>
      <c r="E21" s="90" t="s">
        <v>69</v>
      </c>
    </row>
    <row r="22" spans="3:5" x14ac:dyDescent="0.25">
      <c r="C22" s="89"/>
    </row>
    <row r="23" spans="3:5" x14ac:dyDescent="0.25">
      <c r="C23" s="89" t="s">
        <v>21</v>
      </c>
      <c r="D23" s="87" t="s">
        <v>70</v>
      </c>
      <c r="E23" s="90" t="s">
        <v>71</v>
      </c>
    </row>
    <row r="24" spans="3:5" x14ac:dyDescent="0.25">
      <c r="C24" s="89"/>
    </row>
    <row r="25" spans="3:5" ht="71.25" x14ac:dyDescent="0.25">
      <c r="C25" s="89" t="s">
        <v>72</v>
      </c>
      <c r="D25" s="87" t="s">
        <v>73</v>
      </c>
    </row>
    <row r="26" spans="3:5" x14ac:dyDescent="0.25">
      <c r="C26" s="89"/>
    </row>
    <row r="27" spans="3:5" x14ac:dyDescent="0.25">
      <c r="C27" s="89" t="s">
        <v>22</v>
      </c>
      <c r="D27" s="87" t="s">
        <v>74</v>
      </c>
    </row>
  </sheetData>
  <hyperlinks>
    <hyperlink ref="E21" r:id="rId1"/>
    <hyperlink ref="E19" r:id="rId2"/>
    <hyperlink ref="E15" r:id="rId3"/>
    <hyperlink ref="E13" r:id="rId4"/>
    <hyperlink ref="E23" r:id="rId5"/>
    <hyperlink ref="E17"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19.28515625" hidden="1" customWidth="1"/>
    <col min="2" max="2" width="7" customWidth="1"/>
    <col min="3" max="3" width="16.7109375" bestFit="1" customWidth="1"/>
    <col min="4" max="4" width="22.85546875" bestFit="1" customWidth="1"/>
    <col min="5" max="5" width="9.140625" customWidth="1"/>
  </cols>
  <sheetData>
    <row r="1" spans="1:6" hidden="1" x14ac:dyDescent="0.25">
      <c r="A1" s="5" t="s">
        <v>274</v>
      </c>
      <c r="B1" s="5"/>
      <c r="C1" s="5" t="s">
        <v>5</v>
      </c>
      <c r="D1" s="5" t="s">
        <v>6</v>
      </c>
      <c r="E1" s="5" t="s">
        <v>8</v>
      </c>
      <c r="F1" s="5" t="s">
        <v>54</v>
      </c>
    </row>
    <row r="2" spans="1:6" ht="16.5" x14ac:dyDescent="0.3">
      <c r="A2" s="5"/>
      <c r="B2" s="5"/>
      <c r="C2" s="1"/>
      <c r="D2" s="1"/>
    </row>
    <row r="3" spans="1:6" ht="16.5" x14ac:dyDescent="0.3">
      <c r="A3" s="5"/>
      <c r="B3" s="5"/>
      <c r="C3" s="1"/>
      <c r="D3" s="1"/>
    </row>
    <row r="4" spans="1:6" ht="16.5" x14ac:dyDescent="0.3">
      <c r="A4" s="5"/>
      <c r="B4" s="5"/>
      <c r="C4" s="2" t="s">
        <v>4</v>
      </c>
      <c r="D4" s="2"/>
    </row>
    <row r="5" spans="1:6" x14ac:dyDescent="0.25">
      <c r="A5" s="5" t="s">
        <v>12</v>
      </c>
      <c r="B5" s="5"/>
      <c r="C5" s="5" t="s">
        <v>3</v>
      </c>
      <c r="D5" s="18" t="str">
        <f>"4/1/2019..4/5/2019"</f>
        <v>4/1/2019..4/5/2019</v>
      </c>
      <c r="E5" s="19"/>
      <c r="F5" t="s">
        <v>55</v>
      </c>
    </row>
    <row r="6" spans="1:6" x14ac:dyDescent="0.25">
      <c r="A6" s="5" t="s">
        <v>12</v>
      </c>
      <c r="B6" s="5"/>
      <c r="C6" s="5" t="s">
        <v>46</v>
      </c>
      <c r="D6" s="18" t="str">
        <f>"*"</f>
        <v>*</v>
      </c>
      <c r="E6" s="19" t="str">
        <f>"Lookup"</f>
        <v>Lookup</v>
      </c>
    </row>
    <row r="7" spans="1:6" x14ac:dyDescent="0.25">
      <c r="A7" s="5" t="s">
        <v>12</v>
      </c>
      <c r="B7" s="5"/>
      <c r="C7" s="5" t="s">
        <v>11</v>
      </c>
      <c r="D7" s="18" t="str">
        <f>"*"</f>
        <v>*</v>
      </c>
      <c r="E7" s="19" t="str">
        <f>"Lookup"</f>
        <v>Lookup</v>
      </c>
    </row>
    <row r="8" spans="1:6" x14ac:dyDescent="0.25">
      <c r="A8" s="20" t="s">
        <v>12</v>
      </c>
      <c r="B8" s="19"/>
      <c r="C8" s="20" t="s">
        <v>32</v>
      </c>
      <c r="D8" s="19" t="b">
        <v>0</v>
      </c>
      <c r="E8" s="19" t="str">
        <f>"Lookup"</f>
        <v>Lookup</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7"/>
  <sheetViews>
    <sheetView showGridLines="0" zoomScale="80" zoomScaleNormal="80" workbookViewId="0">
      <pane ySplit="10" topLeftCell="A80" activePane="bottomLeft" state="frozen"/>
      <selection pane="bottomLeft" activeCell="R21" sqref="R21"/>
    </sheetView>
  </sheetViews>
  <sheetFormatPr defaultColWidth="9.140625" defaultRowHeight="16.5" x14ac:dyDescent="0.3"/>
  <cols>
    <col min="1" max="1" width="9.85546875" style="1" hidden="1" customWidth="1"/>
    <col min="2" max="2" width="4.28515625" style="1" hidden="1" customWidth="1"/>
    <col min="3" max="3" width="5.28515625" style="1" customWidth="1"/>
    <col min="4" max="4" width="13.85546875" style="1" hidden="1" customWidth="1"/>
    <col min="5" max="5" width="14.140625" style="1" hidden="1" customWidth="1"/>
    <col min="6" max="6" width="10" style="1" hidden="1" customWidth="1"/>
    <col min="7" max="7" width="9.140625" style="1" hidden="1" customWidth="1"/>
    <col min="8" max="8" width="18.7109375" style="1" hidden="1" customWidth="1"/>
    <col min="9" max="9" width="40.7109375" style="1" customWidth="1"/>
    <col min="10" max="10" width="22.28515625" style="3" bestFit="1" customWidth="1"/>
    <col min="11" max="11" width="13.140625" style="1" bestFit="1" customWidth="1"/>
    <col min="12" max="12" width="13.140625" style="22" bestFit="1" customWidth="1"/>
    <col min="13" max="13" width="14.28515625" style="1" bestFit="1" customWidth="1"/>
    <col min="14" max="14" width="18.5703125" style="3" bestFit="1" customWidth="1"/>
    <col min="15" max="15" width="14.5703125" style="3" bestFit="1" customWidth="1"/>
    <col min="16" max="16" width="16.42578125" style="3" bestFit="1" customWidth="1"/>
    <col min="17" max="17" width="25.28515625" style="38" customWidth="1"/>
    <col min="18" max="18" width="17.7109375" style="37" bestFit="1" customWidth="1"/>
    <col min="19" max="16384" width="9.140625" style="1"/>
  </cols>
  <sheetData>
    <row r="1" spans="1:18" hidden="1" x14ac:dyDescent="0.3">
      <c r="A1" s="1" t="s">
        <v>276</v>
      </c>
      <c r="B1" s="1" t="s">
        <v>250</v>
      </c>
      <c r="D1" s="1" t="s">
        <v>0</v>
      </c>
      <c r="E1" s="1" t="s">
        <v>0</v>
      </c>
      <c r="F1" s="1" t="s">
        <v>0</v>
      </c>
      <c r="G1" s="1" t="s">
        <v>25</v>
      </c>
      <c r="H1" s="1" t="s">
        <v>0</v>
      </c>
      <c r="J1" s="1" t="s">
        <v>1</v>
      </c>
      <c r="K1" s="1" t="s">
        <v>1</v>
      </c>
      <c r="L1" s="22" t="s">
        <v>1</v>
      </c>
      <c r="M1" s="1" t="s">
        <v>1</v>
      </c>
      <c r="N1" s="1" t="s">
        <v>1</v>
      </c>
      <c r="O1" s="1" t="s">
        <v>1</v>
      </c>
      <c r="P1" s="1" t="s">
        <v>1</v>
      </c>
      <c r="Q1" s="37"/>
    </row>
    <row r="2" spans="1:18" hidden="1" x14ac:dyDescent="0.3">
      <c r="A2" s="1" t="s">
        <v>0</v>
      </c>
      <c r="K2" s="1" t="s">
        <v>28</v>
      </c>
      <c r="L2" s="22" t="s">
        <v>28</v>
      </c>
      <c r="M2" s="1" t="s">
        <v>28</v>
      </c>
    </row>
    <row r="4" spans="1:18" ht="26.25" x14ac:dyDescent="0.45">
      <c r="I4" s="61" t="s">
        <v>9</v>
      </c>
    </row>
    <row r="5" spans="1:18" x14ac:dyDescent="0.3">
      <c r="E5" s="3"/>
      <c r="F5" s="3"/>
      <c r="G5" s="3"/>
      <c r="H5" s="3"/>
      <c r="I5" s="3"/>
      <c r="K5" s="3"/>
    </row>
    <row r="6" spans="1:18" ht="17.25" x14ac:dyDescent="0.3">
      <c r="E6" s="3"/>
      <c r="F6" s="3"/>
      <c r="G6" s="3"/>
      <c r="H6" s="3"/>
      <c r="I6" s="8" t="s">
        <v>30</v>
      </c>
      <c r="J6" s="9" t="str">
        <f>"4/1/2019..4/5/2019"</f>
        <v>4/1/2019..4/5/2019</v>
      </c>
      <c r="K6" s="3"/>
      <c r="Q6" s="17" t="s">
        <v>10</v>
      </c>
      <c r="R6" s="15">
        <f ca="1">TODAY()</f>
        <v>43397</v>
      </c>
    </row>
    <row r="7" spans="1:18" ht="17.25" x14ac:dyDescent="0.3">
      <c r="E7" s="3"/>
      <c r="F7" s="3"/>
      <c r="G7" s="3"/>
      <c r="H7" s="3"/>
      <c r="I7" s="8" t="s">
        <v>47</v>
      </c>
      <c r="J7" s="9" t="str">
        <f>"*"</f>
        <v>*</v>
      </c>
      <c r="K7" s="3"/>
      <c r="Q7" s="17"/>
      <c r="R7" s="15"/>
    </row>
    <row r="8" spans="1:18" ht="17.25" x14ac:dyDescent="0.3">
      <c r="E8" s="3"/>
      <c r="F8" s="3"/>
      <c r="G8" s="3"/>
      <c r="H8" s="3"/>
      <c r="I8" s="8" t="s">
        <v>31</v>
      </c>
      <c r="J8" s="9" t="str">
        <f>"*"</f>
        <v>*</v>
      </c>
      <c r="K8" s="3"/>
    </row>
    <row r="9" spans="1:18" ht="17.25" x14ac:dyDescent="0.3">
      <c r="E9" s="3"/>
      <c r="F9" s="3"/>
      <c r="G9" s="3"/>
      <c r="H9" s="3"/>
      <c r="I9" s="8" t="s">
        <v>32</v>
      </c>
      <c r="J9" s="21" t="b">
        <v>0</v>
      </c>
      <c r="K9" s="3"/>
    </row>
    <row r="10" spans="1:18" x14ac:dyDescent="0.3">
      <c r="I10" s="10"/>
      <c r="J10" s="1"/>
      <c r="K10" s="10"/>
      <c r="L10" s="23"/>
      <c r="N10" s="1"/>
      <c r="O10" s="1"/>
      <c r="P10" s="1"/>
      <c r="Q10" s="37"/>
    </row>
    <row r="11" spans="1:18" ht="17.25" x14ac:dyDescent="0.3">
      <c r="H11" s="12" t="str">
        <f>"""NAV Direct"",""CRONUS JetCorp USA"",""18"",""1"",""C100008"""</f>
        <v>"NAV Direct","CRONUS JetCorp USA","18","1","C100008"</v>
      </c>
      <c r="I11" s="26" t="str">
        <f>"C100008"</f>
        <v>C100008</v>
      </c>
      <c r="J11" s="33"/>
      <c r="K11" s="34"/>
      <c r="L11" s="35"/>
      <c r="M11" s="34"/>
      <c r="N11" s="34"/>
      <c r="O11" s="25"/>
      <c r="P11" s="36"/>
      <c r="Q11" s="39"/>
      <c r="R11" s="43"/>
    </row>
    <row r="12" spans="1:18" ht="17.25" x14ac:dyDescent="0.3">
      <c r="H12" s="1" t="str">
        <f>H11</f>
        <v>"NAV Direct","CRONUS JetCorp USA","18","1","C100008"</v>
      </c>
      <c r="I12" s="27" t="str">
        <f>"Blanemark Hifi Shop"</f>
        <v>Blanemark Hifi Shop</v>
      </c>
      <c r="J12" s="14"/>
      <c r="K12" s="14"/>
      <c r="L12" s="14"/>
      <c r="M12" s="14"/>
      <c r="N12" s="14"/>
      <c r="O12" s="14"/>
      <c r="P12" s="14"/>
      <c r="Q12" s="40"/>
      <c r="R12" s="28"/>
    </row>
    <row r="13" spans="1:18" ht="17.25" x14ac:dyDescent="0.3">
      <c r="H13" s="1" t="str">
        <f>H12</f>
        <v>"NAV Direct","CRONUS JetCorp USA","18","1","C100008"</v>
      </c>
      <c r="I13" s="27" t="str">
        <f>"Mike Everson"</f>
        <v>Mike Everson</v>
      </c>
      <c r="J13" s="14"/>
      <c r="K13" s="14"/>
      <c r="L13" s="14"/>
      <c r="M13" s="14"/>
      <c r="N13" s="50" t="s">
        <v>42</v>
      </c>
      <c r="O13" s="50"/>
      <c r="P13" s="50"/>
      <c r="Q13" s="48" t="s">
        <v>43</v>
      </c>
      <c r="R13" s="49"/>
    </row>
    <row r="14" spans="1:18" x14ac:dyDescent="0.3">
      <c r="I14" s="51"/>
      <c r="J14" s="52"/>
      <c r="K14" s="46"/>
      <c r="L14" s="53"/>
      <c r="M14" s="46"/>
      <c r="N14" s="73"/>
      <c r="O14" s="74"/>
      <c r="P14" s="74" t="s">
        <v>34</v>
      </c>
      <c r="Q14" s="75"/>
      <c r="R14" s="76" t="s">
        <v>34</v>
      </c>
    </row>
    <row r="15" spans="1:18" x14ac:dyDescent="0.3">
      <c r="D15" s="1" t="s">
        <v>29</v>
      </c>
      <c r="E15" s="1" t="s">
        <v>27</v>
      </c>
      <c r="F15" s="1" t="s">
        <v>26</v>
      </c>
      <c r="G15" s="16" t="s">
        <v>26</v>
      </c>
      <c r="I15" s="54"/>
      <c r="J15" s="55" t="s">
        <v>7</v>
      </c>
      <c r="K15" s="55" t="s">
        <v>23</v>
      </c>
      <c r="L15" s="56" t="s">
        <v>2</v>
      </c>
      <c r="M15" s="56" t="s">
        <v>3</v>
      </c>
      <c r="N15" s="77" t="s">
        <v>35</v>
      </c>
      <c r="O15" s="78" t="s">
        <v>33</v>
      </c>
      <c r="P15" s="79" t="s">
        <v>29</v>
      </c>
      <c r="Q15" s="80" t="s">
        <v>24</v>
      </c>
      <c r="R15" s="81" t="s">
        <v>24</v>
      </c>
    </row>
    <row r="16" spans="1:18" x14ac:dyDescent="0.3">
      <c r="D16" s="1" t="str">
        <f>H16</f>
        <v>"NAV Direct","CRONUS JetCorp USA","21","1","91348"</v>
      </c>
      <c r="E16" s="1" t="str">
        <f>I11</f>
        <v>C100008</v>
      </c>
      <c r="F16" s="6"/>
      <c r="G16" s="1">
        <v>91348</v>
      </c>
      <c r="H16" s="11" t="str">
        <f>"""NAV Direct"",""CRONUS JetCorp USA"",""21"",""1"",""91348"""</f>
        <v>"NAV Direct","CRONUS JetCorp USA","21","1","91348"</v>
      </c>
      <c r="I16" s="57"/>
      <c r="J16" s="58" t="str">
        <f>"Order S108249"</f>
        <v>Order S108249</v>
      </c>
      <c r="K16" s="58" t="str">
        <f>"SI_106300"</f>
        <v>SI_106300</v>
      </c>
      <c r="L16" s="59">
        <v>43588</v>
      </c>
      <c r="M16" s="59">
        <v>43558</v>
      </c>
      <c r="N16" s="63" t="str">
        <f>"GBP"</f>
        <v>GBP</v>
      </c>
      <c r="O16" s="82">
        <v>13891.099999999999</v>
      </c>
      <c r="P16" s="83">
        <v>0</v>
      </c>
      <c r="Q16" s="84">
        <v>22247.119999999999</v>
      </c>
      <c r="R16" s="85">
        <v>0</v>
      </c>
    </row>
    <row r="17" spans="1:18" x14ac:dyDescent="0.3">
      <c r="B17" s="1" t="str">
        <f>IF(H17="","Hide","Show")</f>
        <v>Show</v>
      </c>
      <c r="D17" s="1" t="str">
        <f>D16</f>
        <v>"NAV Direct","CRONUS JetCorp USA","21","1","91348"</v>
      </c>
      <c r="E17" s="1" t="str">
        <f>E16</f>
        <v>C100008</v>
      </c>
      <c r="F17" s="1">
        <v>91348</v>
      </c>
      <c r="H17" s="11" t="str">
        <f>"""NAV Direct"",""CRONUS JetCorp USA"",""379"",""1"",""12747"""</f>
        <v>"NAV Direct","CRONUS JetCorp USA","379","1","12747"</v>
      </c>
      <c r="I17" s="54"/>
      <c r="J17" s="47" t="str">
        <f>"Payment"</f>
        <v>Payment</v>
      </c>
      <c r="K17" s="47" t="str">
        <f>"GRC104330"</f>
        <v>GRC104330</v>
      </c>
      <c r="L17" s="60"/>
      <c r="M17" s="60">
        <v>43634</v>
      </c>
      <c r="N17" s="63" t="str">
        <f>"GBP"</f>
        <v>GBP</v>
      </c>
      <c r="O17" s="82">
        <v>-13891.099999999999</v>
      </c>
      <c r="P17" s="83">
        <v>0</v>
      </c>
      <c r="Q17" s="84">
        <v>-22247.119999999999</v>
      </c>
      <c r="R17" s="66">
        <v>0</v>
      </c>
    </row>
    <row r="18" spans="1:18" ht="9" customHeight="1" x14ac:dyDescent="0.3">
      <c r="I18" s="54"/>
      <c r="J18" s="47"/>
      <c r="K18" s="47"/>
      <c r="L18" s="60"/>
      <c r="M18" s="60"/>
      <c r="N18" s="68"/>
      <c r="O18" s="67"/>
      <c r="P18" s="64"/>
      <c r="Q18" s="65"/>
      <c r="R18" s="62"/>
    </row>
    <row r="19" spans="1:18" x14ac:dyDescent="0.3">
      <c r="I19" s="54"/>
      <c r="J19" s="47"/>
      <c r="K19" s="47"/>
      <c r="L19" s="60"/>
      <c r="M19" s="60"/>
      <c r="N19" s="68"/>
      <c r="O19" s="69"/>
      <c r="P19" s="70"/>
      <c r="Q19" s="71"/>
      <c r="R19" s="72"/>
    </row>
    <row r="20" spans="1:18" ht="17.25" x14ac:dyDescent="0.3">
      <c r="I20" s="29"/>
      <c r="J20" s="30"/>
      <c r="K20" s="31"/>
      <c r="L20" s="32"/>
      <c r="M20" s="31"/>
      <c r="N20" s="31"/>
      <c r="O20" s="31"/>
      <c r="P20" s="31"/>
      <c r="Q20" s="42" t="str">
        <f>CONCATENATE(I11," - ",I12,"      Remaining Amount  In Local Currency")</f>
        <v>C100008 - Blanemark Hifi Shop      Remaining Amount  In Local Currency</v>
      </c>
      <c r="R20" s="45">
        <f>SUBTOTAL(9,R16:R19)</f>
        <v>0</v>
      </c>
    </row>
    <row r="21" spans="1:18" ht="17.25" x14ac:dyDescent="0.3">
      <c r="A21" s="1" t="s">
        <v>41</v>
      </c>
      <c r="H21" s="12" t="str">
        <f>"""NAV Direct"",""CRONUS JetCorp USA"",""18"",""1"",""C100012"""</f>
        <v>"NAV Direct","CRONUS JetCorp USA","18","1","C100012"</v>
      </c>
      <c r="I21" s="26" t="str">
        <f>"C100012"</f>
        <v>C100012</v>
      </c>
      <c r="J21" s="33"/>
      <c r="K21" s="34"/>
      <c r="L21" s="35"/>
      <c r="M21" s="34"/>
      <c r="N21" s="34"/>
      <c r="O21" s="25"/>
      <c r="P21" s="36"/>
      <c r="Q21" s="39"/>
      <c r="R21" s="43"/>
    </row>
    <row r="22" spans="1:18" ht="17.25" x14ac:dyDescent="0.3">
      <c r="A22" s="1" t="s">
        <v>41</v>
      </c>
      <c r="H22" s="1" t="str">
        <f>H21</f>
        <v>"NAV Direct","CRONUS JetCorp USA","18","1","C100012"</v>
      </c>
      <c r="I22" s="27" t="str">
        <f>"Bainbridges"</f>
        <v>Bainbridges</v>
      </c>
      <c r="J22" s="14"/>
      <c r="K22" s="14"/>
      <c r="L22" s="14"/>
      <c r="M22" s="14"/>
      <c r="N22" s="14"/>
      <c r="O22" s="14"/>
      <c r="P22" s="14"/>
      <c r="Q22" s="40"/>
      <c r="R22" s="28"/>
    </row>
    <row r="23" spans="1:18" ht="17.25" x14ac:dyDescent="0.3">
      <c r="A23" s="1" t="s">
        <v>41</v>
      </c>
      <c r="H23" s="1" t="str">
        <f>H22</f>
        <v>"NAV Direct","CRONUS JetCorp USA","18","1","C100012"</v>
      </c>
      <c r="I23" s="27" t="str">
        <f>"Susan Young"</f>
        <v>Susan Young</v>
      </c>
      <c r="J23" s="14"/>
      <c r="K23" s="14"/>
      <c r="L23" s="14"/>
      <c r="M23" s="14"/>
      <c r="N23" s="50" t="s">
        <v>42</v>
      </c>
      <c r="O23" s="50"/>
      <c r="P23" s="50"/>
      <c r="Q23" s="48" t="s">
        <v>43</v>
      </c>
      <c r="R23" s="49"/>
    </row>
    <row r="24" spans="1:18" x14ac:dyDescent="0.3">
      <c r="A24" s="1" t="s">
        <v>41</v>
      </c>
      <c r="I24" s="51"/>
      <c r="J24" s="52"/>
      <c r="K24" s="46"/>
      <c r="L24" s="53"/>
      <c r="M24" s="46"/>
      <c r="N24" s="73"/>
      <c r="O24" s="74"/>
      <c r="P24" s="74" t="s">
        <v>34</v>
      </c>
      <c r="Q24" s="75"/>
      <c r="R24" s="76" t="s">
        <v>34</v>
      </c>
    </row>
    <row r="25" spans="1:18" x14ac:dyDescent="0.3">
      <c r="A25" s="1" t="s">
        <v>41</v>
      </c>
      <c r="D25" s="1" t="s">
        <v>29</v>
      </c>
      <c r="E25" s="1" t="s">
        <v>27</v>
      </c>
      <c r="F25" s="1" t="s">
        <v>26</v>
      </c>
      <c r="G25" s="16" t="s">
        <v>26</v>
      </c>
      <c r="I25" s="54"/>
      <c r="J25" s="55" t="s">
        <v>7</v>
      </c>
      <c r="K25" s="55" t="s">
        <v>23</v>
      </c>
      <c r="L25" s="56" t="s">
        <v>2</v>
      </c>
      <c r="M25" s="56" t="s">
        <v>3</v>
      </c>
      <c r="N25" s="77" t="s">
        <v>35</v>
      </c>
      <c r="O25" s="78" t="s">
        <v>33</v>
      </c>
      <c r="P25" s="79" t="s">
        <v>29</v>
      </c>
      <c r="Q25" s="80" t="s">
        <v>24</v>
      </c>
      <c r="R25" s="81" t="s">
        <v>24</v>
      </c>
    </row>
    <row r="26" spans="1:18" x14ac:dyDescent="0.3">
      <c r="A26" s="1" t="s">
        <v>41</v>
      </c>
      <c r="D26" s="1" t="str">
        <f t="shared" ref="D26" si="0">H26</f>
        <v>"NAV Direct","CRONUS JetCorp USA","21","1","80610"</v>
      </c>
      <c r="E26" s="1" t="str">
        <f t="shared" ref="E26" si="1">I21</f>
        <v>C100012</v>
      </c>
      <c r="F26" s="6"/>
      <c r="G26" s="1">
        <v>80610</v>
      </c>
      <c r="H26" s="11" t="str">
        <f>"""NAV Direct"",""CRONUS JetCorp USA"",""21"",""1"",""80610"""</f>
        <v>"NAV Direct","CRONUS JetCorp USA","21","1","80610"</v>
      </c>
      <c r="I26" s="57"/>
      <c r="J26" s="58" t="str">
        <f>"Order S107955"</f>
        <v>Order S107955</v>
      </c>
      <c r="K26" s="58" t="str">
        <f>"SI_106006"</f>
        <v>SI_106006</v>
      </c>
      <c r="L26" s="59">
        <v>43589</v>
      </c>
      <c r="M26" s="59">
        <v>43559</v>
      </c>
      <c r="N26" s="63" t="str">
        <f>"CAD"</f>
        <v>CAD</v>
      </c>
      <c r="O26" s="82">
        <v>18152.45</v>
      </c>
      <c r="P26" s="83">
        <v>0</v>
      </c>
      <c r="Q26" s="84">
        <v>18393.400000000001</v>
      </c>
      <c r="R26" s="85">
        <v>0</v>
      </c>
    </row>
    <row r="27" spans="1:18" x14ac:dyDescent="0.3">
      <c r="A27" s="1" t="s">
        <v>41</v>
      </c>
      <c r="B27" s="1" t="str">
        <f t="shared" ref="B27" si="2">IF(H27="","Hide","Show")</f>
        <v>Show</v>
      </c>
      <c r="D27" s="1" t="str">
        <f t="shared" ref="D27" si="3">D26</f>
        <v>"NAV Direct","CRONUS JetCorp USA","21","1","80610"</v>
      </c>
      <c r="E27" s="1" t="str">
        <f t="shared" ref="E27" si="4">E26</f>
        <v>C100012</v>
      </c>
      <c r="F27" s="1">
        <v>80610</v>
      </c>
      <c r="H27" s="11" t="str">
        <f>"""NAV Direct"",""CRONUS JetCorp USA"",""379"",""1"",""10645"""</f>
        <v>"NAV Direct","CRONUS JetCorp USA","379","1","10645"</v>
      </c>
      <c r="I27" s="54"/>
      <c r="J27" s="47" t="str">
        <f>"Payment"</f>
        <v>Payment</v>
      </c>
      <c r="K27" s="47" t="str">
        <f>"GRC103787"</f>
        <v>GRC103787</v>
      </c>
      <c r="L27" s="60"/>
      <c r="M27" s="60">
        <v>43631</v>
      </c>
      <c r="N27" s="63" t="str">
        <f>"CAD"</f>
        <v>CAD</v>
      </c>
      <c r="O27" s="82">
        <v>-18152.45</v>
      </c>
      <c r="P27" s="83">
        <v>0</v>
      </c>
      <c r="Q27" s="84">
        <v>-18393.400000000001</v>
      </c>
      <c r="R27" s="66">
        <v>0</v>
      </c>
    </row>
    <row r="28" spans="1:18" ht="9" customHeight="1" x14ac:dyDescent="0.3">
      <c r="A28" s="1" t="s">
        <v>41</v>
      </c>
      <c r="I28" s="54"/>
      <c r="J28" s="47"/>
      <c r="K28" s="47"/>
      <c r="L28" s="60"/>
      <c r="M28" s="60"/>
      <c r="N28" s="68"/>
      <c r="O28" s="67"/>
      <c r="P28" s="64"/>
      <c r="Q28" s="65"/>
      <c r="R28" s="62"/>
    </row>
    <row r="29" spans="1:18" x14ac:dyDescent="0.3">
      <c r="A29" s="1" t="s">
        <v>41</v>
      </c>
      <c r="I29" s="54"/>
      <c r="J29" s="47"/>
      <c r="K29" s="47"/>
      <c r="L29" s="60"/>
      <c r="M29" s="60"/>
      <c r="N29" s="68"/>
      <c r="O29" s="69"/>
      <c r="P29" s="70"/>
      <c r="Q29" s="71"/>
      <c r="R29" s="72"/>
    </row>
    <row r="30" spans="1:18" ht="17.25" x14ac:dyDescent="0.3">
      <c r="A30" s="1" t="s">
        <v>41</v>
      </c>
      <c r="I30" s="29"/>
      <c r="J30" s="30"/>
      <c r="K30" s="31"/>
      <c r="L30" s="32"/>
      <c r="M30" s="31"/>
      <c r="N30" s="31"/>
      <c r="O30" s="31"/>
      <c r="P30" s="31"/>
      <c r="Q30" s="42" t="str">
        <f>CONCATENATE(I21," - ",I22,"      Remaining Amount  In Local Currency")</f>
        <v>C100012 - Bainbridges      Remaining Amount  In Local Currency</v>
      </c>
      <c r="R30" s="45">
        <f>SUBTOTAL(9,R26:R29)</f>
        <v>0</v>
      </c>
    </row>
    <row r="31" spans="1:18" ht="17.25" x14ac:dyDescent="0.3">
      <c r="A31" s="1" t="s">
        <v>41</v>
      </c>
      <c r="H31" s="12" t="str">
        <f>"""NAV Direct"",""CRONUS JetCorp USA"",""18"",""1"",""C100064"""</f>
        <v>"NAV Direct","CRONUS JetCorp USA","18","1","C100064"</v>
      </c>
      <c r="I31" s="26" t="str">
        <f>"C100064"</f>
        <v>C100064</v>
      </c>
      <c r="J31" s="33"/>
      <c r="K31" s="34"/>
      <c r="L31" s="35"/>
      <c r="M31" s="34"/>
      <c r="N31" s="34"/>
      <c r="O31" s="25"/>
      <c r="P31" s="36"/>
      <c r="Q31" s="39"/>
      <c r="R31" s="43"/>
    </row>
    <row r="32" spans="1:18" ht="17.25" x14ac:dyDescent="0.3">
      <c r="A32" s="1" t="s">
        <v>41</v>
      </c>
      <c r="H32" s="1" t="str">
        <f>H31</f>
        <v>"NAV Direct","CRONUS JetCorp USA","18","1","C100064"</v>
      </c>
      <c r="I32" s="27" t="str">
        <f>"Möbel Siegfried"</f>
        <v>Möbel Siegfried</v>
      </c>
      <c r="J32" s="14"/>
      <c r="K32" s="14"/>
      <c r="L32" s="14"/>
      <c r="M32" s="14"/>
      <c r="N32" s="14"/>
      <c r="O32" s="14"/>
      <c r="P32" s="14"/>
      <c r="Q32" s="40"/>
      <c r="R32" s="28"/>
    </row>
    <row r="33" spans="1:18" ht="17.25" x14ac:dyDescent="0.3">
      <c r="A33" s="1" t="s">
        <v>41</v>
      </c>
      <c r="H33" s="1" t="str">
        <f>H32</f>
        <v>"NAV Direct","CRONUS JetCorp USA","18","1","C100064"</v>
      </c>
      <c r="I33" s="27" t="str">
        <f>"Hr. Dr. Daniel Weisman"</f>
        <v>Hr. Dr. Daniel Weisman</v>
      </c>
      <c r="J33" s="14"/>
      <c r="K33" s="14"/>
      <c r="L33" s="14"/>
      <c r="M33" s="14"/>
      <c r="N33" s="50" t="s">
        <v>42</v>
      </c>
      <c r="O33" s="50"/>
      <c r="P33" s="50"/>
      <c r="Q33" s="48" t="s">
        <v>43</v>
      </c>
      <c r="R33" s="49"/>
    </row>
    <row r="34" spans="1:18" x14ac:dyDescent="0.3">
      <c r="A34" s="1" t="s">
        <v>41</v>
      </c>
      <c r="I34" s="51"/>
      <c r="J34" s="52"/>
      <c r="K34" s="46"/>
      <c r="L34" s="53"/>
      <c r="M34" s="46"/>
      <c r="N34" s="73"/>
      <c r="O34" s="74"/>
      <c r="P34" s="74" t="s">
        <v>34</v>
      </c>
      <c r="Q34" s="75"/>
      <c r="R34" s="76" t="s">
        <v>34</v>
      </c>
    </row>
    <row r="35" spans="1:18" x14ac:dyDescent="0.3">
      <c r="A35" s="1" t="s">
        <v>41</v>
      </c>
      <c r="D35" s="1" t="s">
        <v>29</v>
      </c>
      <c r="E35" s="1" t="s">
        <v>27</v>
      </c>
      <c r="F35" s="1" t="s">
        <v>26</v>
      </c>
      <c r="G35" s="16" t="s">
        <v>26</v>
      </c>
      <c r="I35" s="54"/>
      <c r="J35" s="55" t="s">
        <v>7</v>
      </c>
      <c r="K35" s="55" t="s">
        <v>23</v>
      </c>
      <c r="L35" s="56" t="s">
        <v>2</v>
      </c>
      <c r="M35" s="56" t="s">
        <v>3</v>
      </c>
      <c r="N35" s="77" t="s">
        <v>35</v>
      </c>
      <c r="O35" s="78" t="s">
        <v>33</v>
      </c>
      <c r="P35" s="79" t="s">
        <v>29</v>
      </c>
      <c r="Q35" s="80" t="s">
        <v>24</v>
      </c>
      <c r="R35" s="81" t="s">
        <v>24</v>
      </c>
    </row>
    <row r="36" spans="1:18" x14ac:dyDescent="0.3">
      <c r="A36" s="1" t="s">
        <v>41</v>
      </c>
      <c r="D36" s="1" t="str">
        <f t="shared" ref="D36" si="5">H36</f>
        <v>"NAV Direct","CRONUS JetCorp USA","21","1","33387"</v>
      </c>
      <c r="E36" s="1" t="str">
        <f t="shared" ref="E36" si="6">I31</f>
        <v>C100064</v>
      </c>
      <c r="F36" s="6"/>
      <c r="G36" s="1">
        <v>33387</v>
      </c>
      <c r="H36" s="11" t="str">
        <f>"""NAV Direct"",""CRONUS JetCorp USA"",""21"",""1"",""33387"""</f>
        <v>"NAV Direct","CRONUS JetCorp USA","21","1","33387"</v>
      </c>
      <c r="I36" s="57"/>
      <c r="J36" s="58" t="str">
        <f>"Order S106545"</f>
        <v>Order S106545</v>
      </c>
      <c r="K36" s="58" t="str">
        <f>"SI_104596"</f>
        <v>SI_104596</v>
      </c>
      <c r="L36" s="59">
        <v>43585</v>
      </c>
      <c r="M36" s="59">
        <v>43556</v>
      </c>
      <c r="N36" s="63" t="str">
        <f>"EUR"</f>
        <v>EUR</v>
      </c>
      <c r="O36" s="82">
        <v>10899.18</v>
      </c>
      <c r="P36" s="83">
        <v>0</v>
      </c>
      <c r="Q36" s="84">
        <v>14504.62</v>
      </c>
      <c r="R36" s="85">
        <v>0</v>
      </c>
    </row>
    <row r="37" spans="1:18" x14ac:dyDescent="0.3">
      <c r="A37" s="1" t="s">
        <v>41</v>
      </c>
      <c r="B37" s="1" t="str">
        <f t="shared" ref="B37" si="7">IF(H37="","Hide","Show")</f>
        <v>Show</v>
      </c>
      <c r="D37" s="1" t="str">
        <f t="shared" ref="D37" si="8">D36</f>
        <v>"NAV Direct","CRONUS JetCorp USA","21","1","33387"</v>
      </c>
      <c r="E37" s="1" t="str">
        <f t="shared" ref="E37" si="9">E36</f>
        <v>C100064</v>
      </c>
      <c r="F37" s="1">
        <v>33387</v>
      </c>
      <c r="H37" s="11" t="str">
        <f>"""NAV Direct"",""CRONUS JetCorp USA"",""379"",""1"",""13228"""</f>
        <v>"NAV Direct","CRONUS JetCorp USA","379","1","13228"</v>
      </c>
      <c r="I37" s="54"/>
      <c r="J37" s="47" t="str">
        <f>"Payment"</f>
        <v>Payment</v>
      </c>
      <c r="K37" s="47" t="str">
        <f>"GRC104466"</f>
        <v>GRC104466</v>
      </c>
      <c r="L37" s="60"/>
      <c r="M37" s="60">
        <v>43620</v>
      </c>
      <c r="N37" s="63" t="str">
        <f>"EUR"</f>
        <v>EUR</v>
      </c>
      <c r="O37" s="82">
        <v>-10899.18</v>
      </c>
      <c r="P37" s="83">
        <v>0</v>
      </c>
      <c r="Q37" s="84">
        <v>-14504.62</v>
      </c>
      <c r="R37" s="66">
        <v>0</v>
      </c>
    </row>
    <row r="38" spans="1:18" ht="9" customHeight="1" x14ac:dyDescent="0.3">
      <c r="A38" s="1" t="s">
        <v>41</v>
      </c>
      <c r="I38" s="54"/>
      <c r="J38" s="47"/>
      <c r="K38" s="47"/>
      <c r="L38" s="60"/>
      <c r="M38" s="60"/>
      <c r="N38" s="68"/>
      <c r="O38" s="67"/>
      <c r="P38" s="64"/>
      <c r="Q38" s="65"/>
      <c r="R38" s="62"/>
    </row>
    <row r="39" spans="1:18" x14ac:dyDescent="0.3">
      <c r="A39" s="1" t="s">
        <v>41</v>
      </c>
      <c r="I39" s="54"/>
      <c r="J39" s="47"/>
      <c r="K39" s="47"/>
      <c r="L39" s="60"/>
      <c r="M39" s="60"/>
      <c r="N39" s="68"/>
      <c r="O39" s="69"/>
      <c r="P39" s="70"/>
      <c r="Q39" s="71"/>
      <c r="R39" s="72"/>
    </row>
    <row r="40" spans="1:18" ht="17.25" x14ac:dyDescent="0.3">
      <c r="A40" s="1" t="s">
        <v>41</v>
      </c>
      <c r="I40" s="29"/>
      <c r="J40" s="30"/>
      <c r="K40" s="31"/>
      <c r="L40" s="32"/>
      <c r="M40" s="31"/>
      <c r="N40" s="31"/>
      <c r="O40" s="31"/>
      <c r="P40" s="31"/>
      <c r="Q40" s="42" t="str">
        <f>CONCATENATE(I31," - ",I32,"      Remaining Amount  In Local Currency")</f>
        <v>C100064 - Möbel Siegfried      Remaining Amount  In Local Currency</v>
      </c>
      <c r="R40" s="45">
        <f>SUBTOTAL(9,R36:R39)</f>
        <v>0</v>
      </c>
    </row>
    <row r="41" spans="1:18" ht="17.25" x14ac:dyDescent="0.3">
      <c r="A41" s="1" t="s">
        <v>41</v>
      </c>
      <c r="H41" s="12" t="str">
        <f>"""NAV Direct"",""CRONUS JetCorp USA"",""18"",""1"",""C100066"""</f>
        <v>"NAV Direct","CRONUS JetCorp USA","18","1","C100066"</v>
      </c>
      <c r="I41" s="26" t="str">
        <f>"C100066"</f>
        <v>C100066</v>
      </c>
      <c r="J41" s="33"/>
      <c r="K41" s="34"/>
      <c r="L41" s="35"/>
      <c r="M41" s="34"/>
      <c r="N41" s="34"/>
      <c r="O41" s="25"/>
      <c r="P41" s="36"/>
      <c r="Q41" s="39"/>
      <c r="R41" s="43"/>
    </row>
    <row r="42" spans="1:18" ht="17.25" x14ac:dyDescent="0.3">
      <c r="A42" s="1" t="s">
        <v>41</v>
      </c>
      <c r="H42" s="1" t="str">
        <f>H41</f>
        <v>"NAV Direct","CRONUS JetCorp USA","18","1","C100066"</v>
      </c>
      <c r="I42" s="27" t="str">
        <f>"Office Solutions"</f>
        <v>Office Solutions</v>
      </c>
      <c r="J42" s="14"/>
      <c r="K42" s="14"/>
      <c r="L42" s="14"/>
      <c r="M42" s="14"/>
      <c r="N42" s="14"/>
      <c r="O42" s="14"/>
      <c r="P42" s="14"/>
      <c r="Q42" s="40"/>
      <c r="R42" s="28"/>
    </row>
    <row r="43" spans="1:18" ht="17.25" x14ac:dyDescent="0.3">
      <c r="A43" s="1" t="s">
        <v>41</v>
      </c>
      <c r="H43" s="1" t="str">
        <f>H42</f>
        <v>"NAV Direct","CRONUS JetCorp USA","18","1","C100066"</v>
      </c>
      <c r="I43" s="27" t="str">
        <f>"Susan Sureano"</f>
        <v>Susan Sureano</v>
      </c>
      <c r="J43" s="14"/>
      <c r="K43" s="14"/>
      <c r="L43" s="14"/>
      <c r="M43" s="14"/>
      <c r="N43" s="50" t="s">
        <v>42</v>
      </c>
      <c r="O43" s="50"/>
      <c r="P43" s="50"/>
      <c r="Q43" s="48" t="s">
        <v>43</v>
      </c>
      <c r="R43" s="49"/>
    </row>
    <row r="44" spans="1:18" x14ac:dyDescent="0.3">
      <c r="A44" s="1" t="s">
        <v>41</v>
      </c>
      <c r="I44" s="51"/>
      <c r="J44" s="52"/>
      <c r="K44" s="46"/>
      <c r="L44" s="53"/>
      <c r="M44" s="46"/>
      <c r="N44" s="73"/>
      <c r="O44" s="74"/>
      <c r="P44" s="74" t="s">
        <v>34</v>
      </c>
      <c r="Q44" s="75"/>
      <c r="R44" s="76" t="s">
        <v>34</v>
      </c>
    </row>
    <row r="45" spans="1:18" x14ac:dyDescent="0.3">
      <c r="A45" s="1" t="s">
        <v>41</v>
      </c>
      <c r="D45" s="1" t="s">
        <v>29</v>
      </c>
      <c r="E45" s="1" t="s">
        <v>27</v>
      </c>
      <c r="F45" s="1" t="s">
        <v>26</v>
      </c>
      <c r="G45" s="16" t="s">
        <v>26</v>
      </c>
      <c r="I45" s="54"/>
      <c r="J45" s="55" t="s">
        <v>7</v>
      </c>
      <c r="K45" s="55" t="s">
        <v>23</v>
      </c>
      <c r="L45" s="56" t="s">
        <v>2</v>
      </c>
      <c r="M45" s="56" t="s">
        <v>3</v>
      </c>
      <c r="N45" s="77" t="s">
        <v>35</v>
      </c>
      <c r="O45" s="78" t="s">
        <v>33</v>
      </c>
      <c r="P45" s="79" t="s">
        <v>29</v>
      </c>
      <c r="Q45" s="80" t="s">
        <v>24</v>
      </c>
      <c r="R45" s="81" t="s">
        <v>24</v>
      </c>
    </row>
    <row r="46" spans="1:18" x14ac:dyDescent="0.3">
      <c r="A46" s="1" t="s">
        <v>41</v>
      </c>
      <c r="D46" s="1" t="str">
        <f t="shared" ref="D46" si="10">H46</f>
        <v>"NAV Direct","CRONUS JetCorp USA","21","1","27244"</v>
      </c>
      <c r="E46" s="1" t="str">
        <f t="shared" ref="E46" si="11">I41</f>
        <v>C100066</v>
      </c>
      <c r="F46" s="6"/>
      <c r="G46" s="1">
        <v>27244</v>
      </c>
      <c r="H46" s="11" t="str">
        <f>"""NAV Direct"",""CRONUS JetCorp USA"",""21"",""1"",""27244"""</f>
        <v>"NAV Direct","CRONUS JetCorp USA","21","1","27244"</v>
      </c>
      <c r="I46" s="57"/>
      <c r="J46" s="58" t="str">
        <f>"Order S106296"</f>
        <v>Order S106296</v>
      </c>
      <c r="K46" s="58" t="str">
        <f>"SI_104347"</f>
        <v>SI_104347</v>
      </c>
      <c r="L46" s="59">
        <v>43571</v>
      </c>
      <c r="M46" s="59">
        <v>43557</v>
      </c>
      <c r="N46" s="63" t="str">
        <f>""</f>
        <v/>
      </c>
      <c r="O46" s="82">
        <v>0</v>
      </c>
      <c r="P46" s="83">
        <v>0</v>
      </c>
      <c r="Q46" s="84">
        <v>5598.75</v>
      </c>
      <c r="R46" s="85">
        <v>0</v>
      </c>
    </row>
    <row r="47" spans="1:18" x14ac:dyDescent="0.3">
      <c r="A47" s="1" t="s">
        <v>41</v>
      </c>
      <c r="B47" s="1" t="str">
        <f t="shared" ref="B47" si="12">IF(H47="","Hide","Show")</f>
        <v>Show</v>
      </c>
      <c r="D47" s="1" t="str">
        <f t="shared" ref="D47" si="13">D46</f>
        <v>"NAV Direct","CRONUS JetCorp USA","21","1","27244"</v>
      </c>
      <c r="E47" s="1" t="str">
        <f t="shared" ref="E47" si="14">E46</f>
        <v>C100066</v>
      </c>
      <c r="F47" s="1">
        <v>27244</v>
      </c>
      <c r="H47" s="11" t="str">
        <f>"""NAV Direct"",""CRONUS JetCorp USA"",""379"",""1"",""11337"""</f>
        <v>"NAV Direct","CRONUS JetCorp USA","379","1","11337"</v>
      </c>
      <c r="I47" s="54"/>
      <c r="J47" s="47" t="str">
        <f>"Payment"</f>
        <v>Payment</v>
      </c>
      <c r="K47" s="47" t="str">
        <f>"GRC103963"</f>
        <v>GRC103963</v>
      </c>
      <c r="L47" s="60"/>
      <c r="M47" s="60">
        <v>43624</v>
      </c>
      <c r="N47" s="63" t="str">
        <f>""</f>
        <v/>
      </c>
      <c r="O47" s="82">
        <v>0</v>
      </c>
      <c r="P47" s="83">
        <v>0</v>
      </c>
      <c r="Q47" s="84">
        <v>-5598.75</v>
      </c>
      <c r="R47" s="66">
        <v>0</v>
      </c>
    </row>
    <row r="48" spans="1:18" ht="9" customHeight="1" x14ac:dyDescent="0.3">
      <c r="A48" s="1" t="s">
        <v>41</v>
      </c>
      <c r="I48" s="54"/>
      <c r="J48" s="47"/>
      <c r="K48" s="47"/>
      <c r="L48" s="60"/>
      <c r="M48" s="60"/>
      <c r="N48" s="68"/>
      <c r="O48" s="67"/>
      <c r="P48" s="64"/>
      <c r="Q48" s="65"/>
      <c r="R48" s="62"/>
    </row>
    <row r="49" spans="1:18" x14ac:dyDescent="0.3">
      <c r="A49" s="1" t="s">
        <v>41</v>
      </c>
      <c r="I49" s="54"/>
      <c r="J49" s="47"/>
      <c r="K49" s="47"/>
      <c r="L49" s="60"/>
      <c r="M49" s="60"/>
      <c r="N49" s="68"/>
      <c r="O49" s="69"/>
      <c r="P49" s="70"/>
      <c r="Q49" s="71"/>
      <c r="R49" s="72"/>
    </row>
    <row r="50" spans="1:18" ht="17.25" x14ac:dyDescent="0.3">
      <c r="A50" s="1" t="s">
        <v>41</v>
      </c>
      <c r="I50" s="29"/>
      <c r="J50" s="30"/>
      <c r="K50" s="31"/>
      <c r="L50" s="32"/>
      <c r="M50" s="31"/>
      <c r="N50" s="31"/>
      <c r="O50" s="31"/>
      <c r="P50" s="31"/>
      <c r="Q50" s="42" t="str">
        <f>CONCATENATE(I41," - ",I42,"      Remaining Amount  In Local Currency")</f>
        <v>C100066 - Office Solutions      Remaining Amount  In Local Currency</v>
      </c>
      <c r="R50" s="45">
        <f>SUBTOTAL(9,R46:R49)</f>
        <v>0</v>
      </c>
    </row>
    <row r="51" spans="1:18" ht="17.25" x14ac:dyDescent="0.3">
      <c r="A51" s="1" t="s">
        <v>41</v>
      </c>
      <c r="H51" s="12" t="str">
        <f>"""NAV Direct"",""CRONUS JetCorp USA"",""18"",""1"",""C100084"""</f>
        <v>"NAV Direct","CRONUS JetCorp USA","18","1","C100084"</v>
      </c>
      <c r="I51" s="26" t="str">
        <f>"C100084"</f>
        <v>C100084</v>
      </c>
      <c r="J51" s="33"/>
      <c r="K51" s="34"/>
      <c r="L51" s="35"/>
      <c r="M51" s="34"/>
      <c r="N51" s="34"/>
      <c r="O51" s="25"/>
      <c r="P51" s="36"/>
      <c r="Q51" s="39"/>
      <c r="R51" s="43"/>
    </row>
    <row r="52" spans="1:18" ht="17.25" x14ac:dyDescent="0.3">
      <c r="A52" s="1" t="s">
        <v>41</v>
      </c>
      <c r="H52" s="1" t="str">
        <f>H51</f>
        <v>"NAV Direct","CRONUS JetCorp USA","18","1","C100084"</v>
      </c>
      <c r="I52" s="27" t="str">
        <f>"The Cannon Group PLC"</f>
        <v>The Cannon Group PLC</v>
      </c>
      <c r="J52" s="14"/>
      <c r="K52" s="14"/>
      <c r="L52" s="14"/>
      <c r="M52" s="14"/>
      <c r="N52" s="14"/>
      <c r="O52" s="14"/>
      <c r="P52" s="14"/>
      <c r="Q52" s="40"/>
      <c r="R52" s="28"/>
    </row>
    <row r="53" spans="1:18" ht="17.25" x14ac:dyDescent="0.3">
      <c r="A53" s="1" t="s">
        <v>41</v>
      </c>
      <c r="H53" s="1" t="str">
        <f>H52</f>
        <v>"NAV Direct","CRONUS JetCorp USA","18","1","C100084"</v>
      </c>
      <c r="I53" s="27" t="str">
        <f>"Mr. Andy Teal"</f>
        <v>Mr. Andy Teal</v>
      </c>
      <c r="J53" s="14"/>
      <c r="K53" s="14"/>
      <c r="L53" s="14"/>
      <c r="M53" s="14"/>
      <c r="N53" s="50" t="s">
        <v>42</v>
      </c>
      <c r="O53" s="50"/>
      <c r="P53" s="50"/>
      <c r="Q53" s="48" t="s">
        <v>43</v>
      </c>
      <c r="R53" s="49"/>
    </row>
    <row r="54" spans="1:18" x14ac:dyDescent="0.3">
      <c r="A54" s="1" t="s">
        <v>41</v>
      </c>
      <c r="I54" s="51"/>
      <c r="J54" s="52"/>
      <c r="K54" s="46"/>
      <c r="L54" s="53"/>
      <c r="M54" s="46"/>
      <c r="N54" s="73"/>
      <c r="O54" s="74"/>
      <c r="P54" s="74" t="s">
        <v>34</v>
      </c>
      <c r="Q54" s="75"/>
      <c r="R54" s="76" t="s">
        <v>34</v>
      </c>
    </row>
    <row r="55" spans="1:18" x14ac:dyDescent="0.3">
      <c r="A55" s="1" t="s">
        <v>41</v>
      </c>
      <c r="D55" s="1" t="s">
        <v>29</v>
      </c>
      <c r="E55" s="1" t="s">
        <v>27</v>
      </c>
      <c r="F55" s="1" t="s">
        <v>26</v>
      </c>
      <c r="G55" s="16" t="s">
        <v>26</v>
      </c>
      <c r="I55" s="54"/>
      <c r="J55" s="55" t="s">
        <v>7</v>
      </c>
      <c r="K55" s="55" t="s">
        <v>23</v>
      </c>
      <c r="L55" s="56" t="s">
        <v>2</v>
      </c>
      <c r="M55" s="56" t="s">
        <v>3</v>
      </c>
      <c r="N55" s="77" t="s">
        <v>35</v>
      </c>
      <c r="O55" s="78" t="s">
        <v>33</v>
      </c>
      <c r="P55" s="79" t="s">
        <v>29</v>
      </c>
      <c r="Q55" s="80" t="s">
        <v>24</v>
      </c>
      <c r="R55" s="81" t="s">
        <v>24</v>
      </c>
    </row>
    <row r="56" spans="1:18" x14ac:dyDescent="0.3">
      <c r="A56" s="1" t="s">
        <v>41</v>
      </c>
      <c r="D56" s="1" t="str">
        <f t="shared" ref="D56" si="15">H56</f>
        <v>"NAV Direct","CRONUS JetCorp USA","21","1","143691"</v>
      </c>
      <c r="E56" s="1" t="str">
        <f t="shared" ref="E56" si="16">I51</f>
        <v>C100084</v>
      </c>
      <c r="F56" s="6"/>
      <c r="G56" s="1">
        <v>143691</v>
      </c>
      <c r="H56" s="11" t="str">
        <f>"""NAV Direct"",""CRONUS JetCorp USA"",""21"",""1"",""143691"""</f>
        <v>"NAV Direct","CRONUS JetCorp USA","21","1","143691"</v>
      </c>
      <c r="I56" s="57"/>
      <c r="J56" s="58" t="str">
        <f>"Order S109177"</f>
        <v>Order S109177</v>
      </c>
      <c r="K56" s="58" t="str">
        <f>"SI_107228"</f>
        <v>SI_107228</v>
      </c>
      <c r="L56" s="59">
        <v>43589</v>
      </c>
      <c r="M56" s="59">
        <v>43559</v>
      </c>
      <c r="N56" s="63" t="str">
        <f>""</f>
        <v/>
      </c>
      <c r="O56" s="82">
        <v>0</v>
      </c>
      <c r="P56" s="83">
        <v>0</v>
      </c>
      <c r="Q56" s="84">
        <v>13267.66</v>
      </c>
      <c r="R56" s="85">
        <v>0</v>
      </c>
    </row>
    <row r="57" spans="1:18" x14ac:dyDescent="0.3">
      <c r="A57" s="1" t="s">
        <v>41</v>
      </c>
      <c r="B57" s="1" t="str">
        <f t="shared" ref="B57" si="17">IF(H57="","Hide","Show")</f>
        <v>Show</v>
      </c>
      <c r="D57" s="1" t="str">
        <f t="shared" ref="D57" si="18">D56</f>
        <v>"NAV Direct","CRONUS JetCorp USA","21","1","143691"</v>
      </c>
      <c r="E57" s="1" t="str">
        <f t="shared" ref="E57" si="19">E56</f>
        <v>C100084</v>
      </c>
      <c r="F57" s="1">
        <v>143691</v>
      </c>
      <c r="H57" s="11" t="str">
        <f>"""NAV Direct"",""CRONUS JetCorp USA"",""379"",""1"",""9828"""</f>
        <v>"NAV Direct","CRONUS JetCorp USA","379","1","9828"</v>
      </c>
      <c r="I57" s="54"/>
      <c r="J57" s="47" t="str">
        <f>"Payment"</f>
        <v>Payment</v>
      </c>
      <c r="K57" s="47" t="str">
        <f>"GRC103559"</f>
        <v>GRC103559</v>
      </c>
      <c r="L57" s="60"/>
      <c r="M57" s="60">
        <v>43613</v>
      </c>
      <c r="N57" s="63" t="str">
        <f>""</f>
        <v/>
      </c>
      <c r="O57" s="82">
        <v>0</v>
      </c>
      <c r="P57" s="83">
        <v>0</v>
      </c>
      <c r="Q57" s="84">
        <v>-13267.66</v>
      </c>
      <c r="R57" s="66">
        <v>0</v>
      </c>
    </row>
    <row r="58" spans="1:18" ht="9" customHeight="1" x14ac:dyDescent="0.3">
      <c r="A58" s="1" t="s">
        <v>41</v>
      </c>
      <c r="I58" s="54"/>
      <c r="J58" s="47"/>
      <c r="K58" s="47"/>
      <c r="L58" s="60"/>
      <c r="M58" s="60"/>
      <c r="N58" s="68"/>
      <c r="O58" s="67"/>
      <c r="P58" s="64"/>
      <c r="Q58" s="65"/>
      <c r="R58" s="62"/>
    </row>
    <row r="59" spans="1:18" x14ac:dyDescent="0.3">
      <c r="A59" s="1" t="s">
        <v>41</v>
      </c>
      <c r="I59" s="54"/>
      <c r="J59" s="47"/>
      <c r="K59" s="47"/>
      <c r="L59" s="60"/>
      <c r="M59" s="60"/>
      <c r="N59" s="68"/>
      <c r="O59" s="69"/>
      <c r="P59" s="70"/>
      <c r="Q59" s="71"/>
      <c r="R59" s="72"/>
    </row>
    <row r="60" spans="1:18" ht="17.25" x14ac:dyDescent="0.3">
      <c r="A60" s="1" t="s">
        <v>41</v>
      </c>
      <c r="I60" s="29"/>
      <c r="J60" s="30"/>
      <c r="K60" s="31"/>
      <c r="L60" s="32"/>
      <c r="M60" s="31"/>
      <c r="N60" s="31"/>
      <c r="O60" s="31"/>
      <c r="P60" s="31"/>
      <c r="Q60" s="42" t="str">
        <f>CONCATENATE(I51," - ",I52,"      Remaining Amount  In Local Currency")</f>
        <v>C100084 - The Cannon Group PLC      Remaining Amount  In Local Currency</v>
      </c>
      <c r="R60" s="45">
        <f>SUBTOTAL(9,R56:R59)</f>
        <v>0</v>
      </c>
    </row>
    <row r="61" spans="1:18" ht="17.25" x14ac:dyDescent="0.3">
      <c r="A61" s="1" t="s">
        <v>41</v>
      </c>
      <c r="H61" s="12" t="str">
        <f>"""NAV Direct"",""CRONUS JetCorp USA"",""18"",""1"",""C100107"""</f>
        <v>"NAV Direct","CRONUS JetCorp USA","18","1","C100107"</v>
      </c>
      <c r="I61" s="26" t="str">
        <f>"C100107"</f>
        <v>C100107</v>
      </c>
      <c r="J61" s="33"/>
      <c r="K61" s="34"/>
      <c r="L61" s="35"/>
      <c r="M61" s="34"/>
      <c r="N61" s="34"/>
      <c r="O61" s="25"/>
      <c r="P61" s="36"/>
      <c r="Q61" s="39"/>
      <c r="R61" s="43"/>
    </row>
    <row r="62" spans="1:18" ht="17.25" x14ac:dyDescent="0.3">
      <c r="A62" s="1" t="s">
        <v>41</v>
      </c>
      <c r="H62" s="1" t="str">
        <f>H61</f>
        <v>"NAV Direct","CRONUS JetCorp USA","18","1","C100107"</v>
      </c>
      <c r="I62" s="27" t="str">
        <f>"Lexitechnology"</f>
        <v>Lexitechnology</v>
      </c>
      <c r="J62" s="14"/>
      <c r="K62" s="14"/>
      <c r="L62" s="14"/>
      <c r="M62" s="14"/>
      <c r="N62" s="14"/>
      <c r="O62" s="14"/>
      <c r="P62" s="14"/>
      <c r="Q62" s="40"/>
      <c r="R62" s="28"/>
    </row>
    <row r="63" spans="1:18" ht="17.25" x14ac:dyDescent="0.3">
      <c r="A63" s="1" t="s">
        <v>41</v>
      </c>
      <c r="H63" s="1" t="str">
        <f>H62</f>
        <v>"NAV Direct","CRONUS JetCorp USA","18","1","C100107"</v>
      </c>
      <c r="I63" s="27" t="str">
        <f>"Narisa De la Ezma"</f>
        <v>Narisa De la Ezma</v>
      </c>
      <c r="J63" s="14"/>
      <c r="K63" s="14"/>
      <c r="L63" s="14"/>
      <c r="M63" s="14"/>
      <c r="N63" s="50" t="s">
        <v>42</v>
      </c>
      <c r="O63" s="50"/>
      <c r="P63" s="50"/>
      <c r="Q63" s="48" t="s">
        <v>43</v>
      </c>
      <c r="R63" s="49"/>
    </row>
    <row r="64" spans="1:18" x14ac:dyDescent="0.3">
      <c r="A64" s="1" t="s">
        <v>41</v>
      </c>
      <c r="I64" s="51"/>
      <c r="J64" s="52"/>
      <c r="K64" s="46"/>
      <c r="L64" s="53"/>
      <c r="M64" s="46"/>
      <c r="N64" s="73"/>
      <c r="O64" s="74"/>
      <c r="P64" s="74" t="s">
        <v>34</v>
      </c>
      <c r="Q64" s="75"/>
      <c r="R64" s="76" t="s">
        <v>34</v>
      </c>
    </row>
    <row r="65" spans="1:18" x14ac:dyDescent="0.3">
      <c r="A65" s="1" t="s">
        <v>41</v>
      </c>
      <c r="D65" s="1" t="s">
        <v>29</v>
      </c>
      <c r="E65" s="1" t="s">
        <v>27</v>
      </c>
      <c r="F65" s="1" t="s">
        <v>26</v>
      </c>
      <c r="G65" s="16" t="s">
        <v>26</v>
      </c>
      <c r="I65" s="54"/>
      <c r="J65" s="55" t="s">
        <v>7</v>
      </c>
      <c r="K65" s="55" t="s">
        <v>23</v>
      </c>
      <c r="L65" s="56" t="s">
        <v>2</v>
      </c>
      <c r="M65" s="56" t="s">
        <v>3</v>
      </c>
      <c r="N65" s="77" t="s">
        <v>35</v>
      </c>
      <c r="O65" s="78" t="s">
        <v>33</v>
      </c>
      <c r="P65" s="79" t="s">
        <v>29</v>
      </c>
      <c r="Q65" s="80" t="s">
        <v>24</v>
      </c>
      <c r="R65" s="81" t="s">
        <v>24</v>
      </c>
    </row>
    <row r="66" spans="1:18" x14ac:dyDescent="0.3">
      <c r="A66" s="1" t="s">
        <v>41</v>
      </c>
      <c r="D66" s="1" t="str">
        <f t="shared" ref="D66" si="20">H66</f>
        <v>"NAV Direct","CRONUS JetCorp USA","21","1","188584"</v>
      </c>
      <c r="E66" s="1" t="str">
        <f t="shared" ref="E66" si="21">I61</f>
        <v>C100107</v>
      </c>
      <c r="F66" s="6"/>
      <c r="G66" s="1">
        <v>188584</v>
      </c>
      <c r="H66" s="11" t="str">
        <f>"""NAV Direct"",""CRONUS JetCorp USA"",""21"",""1"",""188584"""</f>
        <v>"NAV Direct","CRONUS JetCorp USA","21","1","188584"</v>
      </c>
      <c r="I66" s="57"/>
      <c r="J66" s="58" t="str">
        <f>"Order S109936"</f>
        <v>Order S109936</v>
      </c>
      <c r="K66" s="58" t="str">
        <f>"SI_107987"</f>
        <v>SI_107987</v>
      </c>
      <c r="L66" s="59">
        <v>43589</v>
      </c>
      <c r="M66" s="59">
        <v>43559</v>
      </c>
      <c r="N66" s="63" t="str">
        <f>"EUR"</f>
        <v>EUR</v>
      </c>
      <c r="O66" s="82">
        <v>5824.14</v>
      </c>
      <c r="P66" s="83">
        <v>0</v>
      </c>
      <c r="Q66" s="84">
        <v>7750.76</v>
      </c>
      <c r="R66" s="85">
        <v>0</v>
      </c>
    </row>
    <row r="67" spans="1:18" x14ac:dyDescent="0.3">
      <c r="A67" s="1" t="s">
        <v>41</v>
      </c>
      <c r="B67" s="1" t="str">
        <f t="shared" ref="B67" si="22">IF(H67="","Hide","Show")</f>
        <v>Show</v>
      </c>
      <c r="D67" s="1" t="str">
        <f t="shared" ref="D67" si="23">D66</f>
        <v>"NAV Direct","CRONUS JetCorp USA","21","1","188584"</v>
      </c>
      <c r="E67" s="1" t="str">
        <f t="shared" ref="E67" si="24">E66</f>
        <v>C100107</v>
      </c>
      <c r="F67" s="1">
        <v>188584</v>
      </c>
      <c r="H67" s="11" t="str">
        <f>"""NAV Direct"",""CRONUS JetCorp USA"",""379"",""1"",""13792"""</f>
        <v>"NAV Direct","CRONUS JetCorp USA","379","1","13792"</v>
      </c>
      <c r="I67" s="54"/>
      <c r="J67" s="47" t="str">
        <f>"Payment"</f>
        <v>Payment</v>
      </c>
      <c r="K67" s="47" t="str">
        <f>"GRC104627"</f>
        <v>GRC104627</v>
      </c>
      <c r="L67" s="60"/>
      <c r="M67" s="60">
        <v>43663</v>
      </c>
      <c r="N67" s="63" t="str">
        <f>"EUR"</f>
        <v>EUR</v>
      </c>
      <c r="O67" s="82">
        <v>-5824.14</v>
      </c>
      <c r="P67" s="83">
        <v>0</v>
      </c>
      <c r="Q67" s="84">
        <v>-7750.76</v>
      </c>
      <c r="R67" s="66">
        <v>0</v>
      </c>
    </row>
    <row r="68" spans="1:18" ht="9" customHeight="1" x14ac:dyDescent="0.3">
      <c r="A68" s="1" t="s">
        <v>41</v>
      </c>
      <c r="I68" s="54"/>
      <c r="J68" s="47"/>
      <c r="K68" s="47"/>
      <c r="L68" s="60"/>
      <c r="M68" s="60"/>
      <c r="N68" s="68"/>
      <c r="O68" s="67"/>
      <c r="P68" s="64"/>
      <c r="Q68" s="65"/>
      <c r="R68" s="62"/>
    </row>
    <row r="69" spans="1:18" x14ac:dyDescent="0.3">
      <c r="A69" s="1" t="s">
        <v>41</v>
      </c>
      <c r="I69" s="54"/>
      <c r="J69" s="47"/>
      <c r="K69" s="47"/>
      <c r="L69" s="60"/>
      <c r="M69" s="60"/>
      <c r="N69" s="68"/>
      <c r="O69" s="69"/>
      <c r="P69" s="70"/>
      <c r="Q69" s="71"/>
      <c r="R69" s="72"/>
    </row>
    <row r="70" spans="1:18" ht="17.25" x14ac:dyDescent="0.3">
      <c r="A70" s="1" t="s">
        <v>41</v>
      </c>
      <c r="I70" s="29"/>
      <c r="J70" s="30"/>
      <c r="K70" s="31"/>
      <c r="L70" s="32"/>
      <c r="M70" s="31"/>
      <c r="N70" s="31"/>
      <c r="O70" s="31"/>
      <c r="P70" s="31"/>
      <c r="Q70" s="42" t="str">
        <f>CONCATENATE(I61," - ",I62,"      Remaining Amount  In Local Currency")</f>
        <v>C100107 - Lexitechnology      Remaining Amount  In Local Currency</v>
      </c>
      <c r="R70" s="45">
        <f>SUBTOTAL(9,R66:R69)</f>
        <v>0</v>
      </c>
    </row>
    <row r="71" spans="1:18" ht="17.25" x14ac:dyDescent="0.3">
      <c r="A71" s="1" t="s">
        <v>41</v>
      </c>
      <c r="H71" s="12" t="str">
        <f>"""NAV Direct"",""CRONUS JetCorp USA"",""18"",""1"",""C100108"""</f>
        <v>"NAV Direct","CRONUS JetCorp USA","18","1","C100108"</v>
      </c>
      <c r="I71" s="26" t="str">
        <f>"C100108"</f>
        <v>C100108</v>
      </c>
      <c r="J71" s="33"/>
      <c r="K71" s="34"/>
      <c r="L71" s="35"/>
      <c r="M71" s="34"/>
      <c r="N71" s="34"/>
      <c r="O71" s="25"/>
      <c r="P71" s="36"/>
      <c r="Q71" s="39"/>
      <c r="R71" s="43"/>
    </row>
    <row r="72" spans="1:18" ht="17.25" x14ac:dyDescent="0.3">
      <c r="A72" s="1" t="s">
        <v>41</v>
      </c>
      <c r="H72" s="1" t="str">
        <f>H71</f>
        <v>"NAV Direct","CRONUS JetCorp USA","18","1","C100108"</v>
      </c>
      <c r="I72" s="27" t="str">
        <f>"Kinfix Industries"</f>
        <v>Kinfix Industries</v>
      </c>
      <c r="J72" s="14"/>
      <c r="K72" s="14"/>
      <c r="L72" s="14"/>
      <c r="M72" s="14"/>
      <c r="N72" s="14"/>
      <c r="O72" s="14"/>
      <c r="P72" s="14"/>
      <c r="Q72" s="40"/>
      <c r="R72" s="28"/>
    </row>
    <row r="73" spans="1:18" ht="17.25" x14ac:dyDescent="0.3">
      <c r="A73" s="1" t="s">
        <v>41</v>
      </c>
      <c r="H73" s="1" t="str">
        <f>H72</f>
        <v>"NAV Direct","CRONUS JetCorp USA","18","1","C100108"</v>
      </c>
      <c r="I73" s="27" t="str">
        <f>"Aurora White"</f>
        <v>Aurora White</v>
      </c>
      <c r="J73" s="14"/>
      <c r="K73" s="14"/>
      <c r="L73" s="14"/>
      <c r="M73" s="14"/>
      <c r="N73" s="50" t="s">
        <v>42</v>
      </c>
      <c r="O73" s="50"/>
      <c r="P73" s="50"/>
      <c r="Q73" s="48" t="s">
        <v>43</v>
      </c>
      <c r="R73" s="49"/>
    </row>
    <row r="74" spans="1:18" x14ac:dyDescent="0.3">
      <c r="A74" s="1" t="s">
        <v>41</v>
      </c>
      <c r="I74" s="51"/>
      <c r="J74" s="52"/>
      <c r="K74" s="46"/>
      <c r="L74" s="53"/>
      <c r="M74" s="46"/>
      <c r="N74" s="73"/>
      <c r="O74" s="74"/>
      <c r="P74" s="74" t="s">
        <v>34</v>
      </c>
      <c r="Q74" s="75"/>
      <c r="R74" s="76" t="s">
        <v>34</v>
      </c>
    </row>
    <row r="75" spans="1:18" x14ac:dyDescent="0.3">
      <c r="A75" s="1" t="s">
        <v>41</v>
      </c>
      <c r="D75" s="1" t="s">
        <v>29</v>
      </c>
      <c r="E75" s="1" t="s">
        <v>27</v>
      </c>
      <c r="F75" s="1" t="s">
        <v>26</v>
      </c>
      <c r="G75" s="16" t="s">
        <v>26</v>
      </c>
      <c r="I75" s="54"/>
      <c r="J75" s="55" t="s">
        <v>7</v>
      </c>
      <c r="K75" s="55" t="s">
        <v>23</v>
      </c>
      <c r="L75" s="56" t="s">
        <v>2</v>
      </c>
      <c r="M75" s="56" t="s">
        <v>3</v>
      </c>
      <c r="N75" s="77" t="s">
        <v>35</v>
      </c>
      <c r="O75" s="78" t="s">
        <v>33</v>
      </c>
      <c r="P75" s="79" t="s">
        <v>29</v>
      </c>
      <c r="Q75" s="80" t="s">
        <v>24</v>
      </c>
      <c r="R75" s="81" t="s">
        <v>24</v>
      </c>
    </row>
    <row r="76" spans="1:18" x14ac:dyDescent="0.3">
      <c r="A76" s="1" t="s">
        <v>41</v>
      </c>
      <c r="D76" s="1" t="str">
        <f t="shared" ref="D76" si="25">H76</f>
        <v>"NAV Direct","CRONUS JetCorp USA","21","1","168995"</v>
      </c>
      <c r="E76" s="1" t="str">
        <f t="shared" ref="E76" si="26">I71</f>
        <v>C100108</v>
      </c>
      <c r="F76" s="6"/>
      <c r="G76" s="1">
        <v>168995</v>
      </c>
      <c r="H76" s="11" t="str">
        <f>"""NAV Direct"",""CRONUS JetCorp USA"",""21"",""1"",""168995"""</f>
        <v>"NAV Direct","CRONUS JetCorp USA","21","1","168995"</v>
      </c>
      <c r="I76" s="57"/>
      <c r="J76" s="58" t="str">
        <f>"Order S109594"</f>
        <v>Order S109594</v>
      </c>
      <c r="K76" s="58" t="str">
        <f>"SI_107645"</f>
        <v>SI_107645</v>
      </c>
      <c r="L76" s="59">
        <v>43573</v>
      </c>
      <c r="M76" s="59">
        <v>43559</v>
      </c>
      <c r="N76" s="63" t="str">
        <f>""</f>
        <v/>
      </c>
      <c r="O76" s="82">
        <v>0</v>
      </c>
      <c r="P76" s="83">
        <v>0</v>
      </c>
      <c r="Q76" s="84">
        <v>8481.1400000000012</v>
      </c>
      <c r="R76" s="85">
        <v>0</v>
      </c>
    </row>
    <row r="77" spans="1:18" x14ac:dyDescent="0.3">
      <c r="A77" s="1" t="s">
        <v>41</v>
      </c>
      <c r="B77" s="1" t="str">
        <f t="shared" ref="B77" si="27">IF(H77="","Hide","Show")</f>
        <v>Show</v>
      </c>
      <c r="D77" s="1" t="str">
        <f t="shared" ref="D77" si="28">D76</f>
        <v>"NAV Direct","CRONUS JetCorp USA","21","1","168995"</v>
      </c>
      <c r="E77" s="1" t="str">
        <f t="shared" ref="E77" si="29">E76</f>
        <v>C100108</v>
      </c>
      <c r="F77" s="1">
        <v>168995</v>
      </c>
      <c r="H77" s="11" t="str">
        <f>"""NAV Direct"",""CRONUS JetCorp USA"",""379"",""1"",""12106"""</f>
        <v>"NAV Direct","CRONUS JetCorp USA","379","1","12106"</v>
      </c>
      <c r="I77" s="54"/>
      <c r="J77" s="47" t="str">
        <f>"Payment"</f>
        <v>Payment</v>
      </c>
      <c r="K77" s="47" t="str">
        <f>"GRC104165"</f>
        <v>GRC104165</v>
      </c>
      <c r="L77" s="60"/>
      <c r="M77" s="60">
        <v>43613</v>
      </c>
      <c r="N77" s="63" t="str">
        <f>""</f>
        <v/>
      </c>
      <c r="O77" s="82">
        <v>0</v>
      </c>
      <c r="P77" s="83">
        <v>0</v>
      </c>
      <c r="Q77" s="84">
        <v>-8481.1400000000012</v>
      </c>
      <c r="R77" s="66">
        <v>0</v>
      </c>
    </row>
    <row r="78" spans="1:18" ht="9" customHeight="1" x14ac:dyDescent="0.3">
      <c r="A78" s="1" t="s">
        <v>41</v>
      </c>
      <c r="I78" s="54"/>
      <c r="J78" s="47"/>
      <c r="K78" s="47"/>
      <c r="L78" s="60"/>
      <c r="M78" s="60"/>
      <c r="N78" s="68"/>
      <c r="O78" s="67"/>
      <c r="P78" s="64"/>
      <c r="Q78" s="65"/>
      <c r="R78" s="62"/>
    </row>
    <row r="79" spans="1:18" x14ac:dyDescent="0.3">
      <c r="A79" s="1" t="s">
        <v>41</v>
      </c>
      <c r="I79" s="54"/>
      <c r="J79" s="47"/>
      <c r="K79" s="47"/>
      <c r="L79" s="60"/>
      <c r="M79" s="60"/>
      <c r="N79" s="68"/>
      <c r="O79" s="69"/>
      <c r="P79" s="70"/>
      <c r="Q79" s="71"/>
      <c r="R79" s="72"/>
    </row>
    <row r="80" spans="1:18" ht="17.25" x14ac:dyDescent="0.3">
      <c r="A80" s="1" t="s">
        <v>41</v>
      </c>
      <c r="I80" s="29"/>
      <c r="J80" s="30"/>
      <c r="K80" s="31"/>
      <c r="L80" s="32"/>
      <c r="M80" s="31"/>
      <c r="N80" s="31"/>
      <c r="O80" s="31"/>
      <c r="P80" s="31"/>
      <c r="Q80" s="42" t="str">
        <f>CONCATENATE(I71," - ",I72,"      Remaining Amount  In Local Currency")</f>
        <v>C100108 - Kinfix Industries      Remaining Amount  In Local Currency</v>
      </c>
      <c r="R80" s="45">
        <f>SUBTOTAL(9,R76:R79)</f>
        <v>0</v>
      </c>
    </row>
    <row r="81" spans="1:18" ht="17.25" x14ac:dyDescent="0.3">
      <c r="A81" s="1" t="s">
        <v>41</v>
      </c>
      <c r="H81" s="12" t="str">
        <f>"""NAV Direct"",""CRONUS JetCorp USA"",""18"",""1"",""C100113"""</f>
        <v>"NAV Direct","CRONUS JetCorp USA","18","1","C100113"</v>
      </c>
      <c r="I81" s="26" t="str">
        <f>"C100113"</f>
        <v>C100113</v>
      </c>
      <c r="J81" s="33"/>
      <c r="K81" s="34"/>
      <c r="L81" s="35"/>
      <c r="M81" s="34"/>
      <c r="N81" s="34"/>
      <c r="O81" s="25"/>
      <c r="P81" s="36"/>
      <c r="Q81" s="39"/>
      <c r="R81" s="43"/>
    </row>
    <row r="82" spans="1:18" ht="17.25" x14ac:dyDescent="0.3">
      <c r="A82" s="1" t="s">
        <v>41</v>
      </c>
      <c r="H82" s="1" t="str">
        <f>H81</f>
        <v>"NAV Direct","CRONUS JetCorp USA","18","1","C100113"</v>
      </c>
      <c r="I82" s="27" t="str">
        <f>"Latexon, Inc."</f>
        <v>Latexon, Inc.</v>
      </c>
      <c r="J82" s="14"/>
      <c r="K82" s="14"/>
      <c r="L82" s="14"/>
      <c r="M82" s="14"/>
      <c r="N82" s="14"/>
      <c r="O82" s="14"/>
      <c r="P82" s="14"/>
      <c r="Q82" s="40"/>
      <c r="R82" s="28"/>
    </row>
    <row r="83" spans="1:18" ht="17.25" x14ac:dyDescent="0.3">
      <c r="A83" s="1" t="s">
        <v>41</v>
      </c>
      <c r="H83" s="1" t="str">
        <f>H82</f>
        <v>"NAV Direct","CRONUS JetCorp USA","18","1","C100113"</v>
      </c>
      <c r="I83" s="27" t="str">
        <f>"Kaldar Asiman"</f>
        <v>Kaldar Asiman</v>
      </c>
      <c r="J83" s="14"/>
      <c r="K83" s="14"/>
      <c r="L83" s="14"/>
      <c r="M83" s="14"/>
      <c r="N83" s="50" t="s">
        <v>42</v>
      </c>
      <c r="O83" s="50"/>
      <c r="P83" s="50"/>
      <c r="Q83" s="48" t="s">
        <v>43</v>
      </c>
      <c r="R83" s="49"/>
    </row>
    <row r="84" spans="1:18" x14ac:dyDescent="0.3">
      <c r="A84" s="1" t="s">
        <v>41</v>
      </c>
      <c r="I84" s="51"/>
      <c r="J84" s="52"/>
      <c r="K84" s="46"/>
      <c r="L84" s="53"/>
      <c r="M84" s="46"/>
      <c r="N84" s="73"/>
      <c r="O84" s="74"/>
      <c r="P84" s="74" t="s">
        <v>34</v>
      </c>
      <c r="Q84" s="75"/>
      <c r="R84" s="76" t="s">
        <v>34</v>
      </c>
    </row>
    <row r="85" spans="1:18" x14ac:dyDescent="0.3">
      <c r="A85" s="1" t="s">
        <v>41</v>
      </c>
      <c r="D85" s="1" t="s">
        <v>29</v>
      </c>
      <c r="E85" s="1" t="s">
        <v>27</v>
      </c>
      <c r="F85" s="1" t="s">
        <v>26</v>
      </c>
      <c r="G85" s="16" t="s">
        <v>26</v>
      </c>
      <c r="I85" s="54"/>
      <c r="J85" s="55" t="s">
        <v>7</v>
      </c>
      <c r="K85" s="55" t="s">
        <v>23</v>
      </c>
      <c r="L85" s="56" t="s">
        <v>2</v>
      </c>
      <c r="M85" s="56" t="s">
        <v>3</v>
      </c>
      <c r="N85" s="77" t="s">
        <v>35</v>
      </c>
      <c r="O85" s="78" t="s">
        <v>33</v>
      </c>
      <c r="P85" s="79" t="s">
        <v>29</v>
      </c>
      <c r="Q85" s="80" t="s">
        <v>24</v>
      </c>
      <c r="R85" s="81" t="s">
        <v>24</v>
      </c>
    </row>
    <row r="86" spans="1:18" x14ac:dyDescent="0.3">
      <c r="A86" s="1" t="s">
        <v>41</v>
      </c>
      <c r="D86" s="1" t="str">
        <f t="shared" ref="D86" si="30">H86</f>
        <v>"NAV Direct","CRONUS JetCorp USA","21","1","143600"</v>
      </c>
      <c r="E86" s="1" t="str">
        <f t="shared" ref="E86" si="31">I81</f>
        <v>C100113</v>
      </c>
      <c r="F86" s="6"/>
      <c r="G86" s="1">
        <v>143600</v>
      </c>
      <c r="H86" s="11" t="str">
        <f>"""NAV Direct"",""CRONUS JetCorp USA"",""21"",""1"",""143600"""</f>
        <v>"NAV Direct","CRONUS JetCorp USA","21","1","143600"</v>
      </c>
      <c r="I86" s="57"/>
      <c r="J86" s="58" t="str">
        <f>"Order S109176"</f>
        <v>Order S109176</v>
      </c>
      <c r="K86" s="58" t="str">
        <f>"SI_107227"</f>
        <v>SI_107227</v>
      </c>
      <c r="L86" s="59">
        <v>43574</v>
      </c>
      <c r="M86" s="59">
        <v>43560</v>
      </c>
      <c r="N86" s="63" t="str">
        <f>""</f>
        <v/>
      </c>
      <c r="O86" s="82">
        <v>0</v>
      </c>
      <c r="P86" s="83">
        <v>0</v>
      </c>
      <c r="Q86" s="84">
        <v>13120.43</v>
      </c>
      <c r="R86" s="85">
        <v>0</v>
      </c>
    </row>
    <row r="87" spans="1:18" x14ac:dyDescent="0.3">
      <c r="A87" s="1" t="s">
        <v>41</v>
      </c>
      <c r="B87" s="1" t="str">
        <f t="shared" ref="B87" si="32">IF(H87="","Hide","Show")</f>
        <v>Show</v>
      </c>
      <c r="D87" s="1" t="str">
        <f t="shared" ref="D87" si="33">D86</f>
        <v>"NAV Direct","CRONUS JetCorp USA","21","1","143600"</v>
      </c>
      <c r="E87" s="1" t="str">
        <f t="shared" ref="E87" si="34">E86</f>
        <v>C100113</v>
      </c>
      <c r="F87" s="1">
        <v>143600</v>
      </c>
      <c r="H87" s="11" t="str">
        <f>"""NAV Direct"",""CRONUS JetCorp USA"",""379"",""1"",""9838"""</f>
        <v>"NAV Direct","CRONUS JetCorp USA","379","1","9838"</v>
      </c>
      <c r="I87" s="54"/>
      <c r="J87" s="47" t="str">
        <f>"Payment"</f>
        <v>Payment</v>
      </c>
      <c r="K87" s="47" t="str">
        <f>"GRC103562"</f>
        <v>GRC103562</v>
      </c>
      <c r="L87" s="60"/>
      <c r="M87" s="60">
        <v>43593</v>
      </c>
      <c r="N87" s="63" t="str">
        <f>""</f>
        <v/>
      </c>
      <c r="O87" s="82">
        <v>0</v>
      </c>
      <c r="P87" s="83">
        <v>0</v>
      </c>
      <c r="Q87" s="84">
        <v>-13120.43</v>
      </c>
      <c r="R87" s="66">
        <v>0</v>
      </c>
    </row>
    <row r="88" spans="1:18" ht="9" customHeight="1" x14ac:dyDescent="0.3">
      <c r="A88" s="1" t="s">
        <v>41</v>
      </c>
      <c r="I88" s="54"/>
      <c r="J88" s="47"/>
      <c r="K88" s="47"/>
      <c r="L88" s="60"/>
      <c r="M88" s="60"/>
      <c r="N88" s="68"/>
      <c r="O88" s="67"/>
      <c r="P88" s="64"/>
      <c r="Q88" s="65"/>
      <c r="R88" s="62"/>
    </row>
    <row r="89" spans="1:18" x14ac:dyDescent="0.3">
      <c r="A89" s="1" t="s">
        <v>41</v>
      </c>
      <c r="I89" s="54"/>
      <c r="J89" s="47"/>
      <c r="K89" s="47"/>
      <c r="L89" s="60"/>
      <c r="M89" s="60"/>
      <c r="N89" s="68"/>
      <c r="O89" s="69"/>
      <c r="P89" s="70"/>
      <c r="Q89" s="71"/>
      <c r="R89" s="72"/>
    </row>
    <row r="90" spans="1:18" ht="17.25" x14ac:dyDescent="0.3">
      <c r="A90" s="1" t="s">
        <v>41</v>
      </c>
      <c r="I90" s="29"/>
      <c r="J90" s="30"/>
      <c r="K90" s="31"/>
      <c r="L90" s="32"/>
      <c r="M90" s="31"/>
      <c r="N90" s="31"/>
      <c r="O90" s="31"/>
      <c r="P90" s="31"/>
      <c r="Q90" s="42" t="str">
        <f>CONCATENATE(I81," - ",I82,"      Remaining Amount  In Local Currency")</f>
        <v>C100113 - Latexon, Inc.      Remaining Amount  In Local Currency</v>
      </c>
      <c r="R90" s="45">
        <f>SUBTOTAL(9,R86:R89)</f>
        <v>0</v>
      </c>
    </row>
    <row r="91" spans="1:18" ht="17.25" x14ac:dyDescent="0.3">
      <c r="A91" s="1" t="s">
        <v>41</v>
      </c>
      <c r="H91" s="12" t="str">
        <f>"""NAV Direct"",""CRONUS JetCorp USA"",""18"",""1"",""C100126"""</f>
        <v>"NAV Direct","CRONUS JetCorp USA","18","1","C100126"</v>
      </c>
      <c r="I91" s="26" t="str">
        <f>"C100126"</f>
        <v>C100126</v>
      </c>
      <c r="J91" s="33"/>
      <c r="K91" s="34"/>
      <c r="L91" s="35"/>
      <c r="M91" s="34"/>
      <c r="N91" s="34"/>
      <c r="O91" s="25"/>
      <c r="P91" s="36"/>
      <c r="Q91" s="39"/>
      <c r="R91" s="43"/>
    </row>
    <row r="92" spans="1:18" ht="17.25" x14ac:dyDescent="0.3">
      <c r="A92" s="1" t="s">
        <v>41</v>
      </c>
      <c r="H92" s="1" t="str">
        <f>H91</f>
        <v>"NAV Direct","CRONUS JetCorp USA","18","1","C100126"</v>
      </c>
      <c r="I92" s="27" t="str">
        <f>"Moveex"</f>
        <v>Moveex</v>
      </c>
      <c r="J92" s="14"/>
      <c r="K92" s="14"/>
      <c r="L92" s="14"/>
      <c r="M92" s="14"/>
      <c r="N92" s="14"/>
      <c r="O92" s="14"/>
      <c r="P92" s="14"/>
      <c r="Q92" s="40"/>
      <c r="R92" s="28"/>
    </row>
    <row r="93" spans="1:18" ht="17.25" x14ac:dyDescent="0.3">
      <c r="A93" s="1" t="s">
        <v>41</v>
      </c>
      <c r="H93" s="1" t="str">
        <f>H92</f>
        <v>"NAV Direct","CRONUS JetCorp USA","18","1","C100126"</v>
      </c>
      <c r="I93" s="27" t="str">
        <f>"Agon Silver"</f>
        <v>Agon Silver</v>
      </c>
      <c r="J93" s="14"/>
      <c r="K93" s="14"/>
      <c r="L93" s="14"/>
      <c r="M93" s="14"/>
      <c r="N93" s="50" t="s">
        <v>42</v>
      </c>
      <c r="O93" s="50"/>
      <c r="P93" s="50"/>
      <c r="Q93" s="48" t="s">
        <v>43</v>
      </c>
      <c r="R93" s="49"/>
    </row>
    <row r="94" spans="1:18" x14ac:dyDescent="0.3">
      <c r="A94" s="1" t="s">
        <v>41</v>
      </c>
      <c r="I94" s="51"/>
      <c r="J94" s="52"/>
      <c r="K94" s="46"/>
      <c r="L94" s="53"/>
      <c r="M94" s="46"/>
      <c r="N94" s="73"/>
      <c r="O94" s="74"/>
      <c r="P94" s="74" t="s">
        <v>34</v>
      </c>
      <c r="Q94" s="75"/>
      <c r="R94" s="76" t="s">
        <v>34</v>
      </c>
    </row>
    <row r="95" spans="1:18" x14ac:dyDescent="0.3">
      <c r="A95" s="1" t="s">
        <v>41</v>
      </c>
      <c r="D95" s="1" t="s">
        <v>29</v>
      </c>
      <c r="E95" s="1" t="s">
        <v>27</v>
      </c>
      <c r="F95" s="1" t="s">
        <v>26</v>
      </c>
      <c r="G95" s="16" t="s">
        <v>26</v>
      </c>
      <c r="I95" s="54"/>
      <c r="J95" s="55" t="s">
        <v>7</v>
      </c>
      <c r="K95" s="55" t="s">
        <v>23</v>
      </c>
      <c r="L95" s="56" t="s">
        <v>2</v>
      </c>
      <c r="M95" s="56" t="s">
        <v>3</v>
      </c>
      <c r="N95" s="77" t="s">
        <v>35</v>
      </c>
      <c r="O95" s="78" t="s">
        <v>33</v>
      </c>
      <c r="P95" s="79" t="s">
        <v>29</v>
      </c>
      <c r="Q95" s="80" t="s">
        <v>24</v>
      </c>
      <c r="R95" s="81" t="s">
        <v>24</v>
      </c>
    </row>
    <row r="96" spans="1:18" x14ac:dyDescent="0.3">
      <c r="A96" s="1" t="s">
        <v>41</v>
      </c>
      <c r="D96" s="1" t="str">
        <f t="shared" ref="D96" si="35">H96</f>
        <v>"NAV Direct","CRONUS JetCorp USA","21","1","118158"</v>
      </c>
      <c r="E96" s="1" t="str">
        <f t="shared" ref="E96" si="36">I91</f>
        <v>C100126</v>
      </c>
      <c r="F96" s="6"/>
      <c r="G96" s="1">
        <v>118158</v>
      </c>
      <c r="H96" s="11" t="str">
        <f>"""NAV Direct"",""CRONUS JetCorp USA"",""21"",""1"",""118158"""</f>
        <v>"NAV Direct","CRONUS JetCorp USA","21","1","118158"</v>
      </c>
      <c r="I96" s="57"/>
      <c r="J96" s="58" t="str">
        <f>"Order S108791"</f>
        <v>Order S108791</v>
      </c>
      <c r="K96" s="58" t="str">
        <f>"SI_106842"</f>
        <v>SI_106842</v>
      </c>
      <c r="L96" s="59">
        <v>43573</v>
      </c>
      <c r="M96" s="59">
        <v>43559</v>
      </c>
      <c r="N96" s="63" t="str">
        <f>""</f>
        <v/>
      </c>
      <c r="O96" s="82">
        <v>0</v>
      </c>
      <c r="P96" s="83">
        <v>0</v>
      </c>
      <c r="Q96" s="84">
        <v>13317.560000000001</v>
      </c>
      <c r="R96" s="85">
        <v>0</v>
      </c>
    </row>
    <row r="97" spans="1:18" x14ac:dyDescent="0.3">
      <c r="A97" s="1" t="s">
        <v>41</v>
      </c>
      <c r="B97" s="1" t="str">
        <f t="shared" ref="B97" si="37">IF(H97="","Hide","Show")</f>
        <v>Show</v>
      </c>
      <c r="D97" s="1" t="str">
        <f t="shared" ref="D97" si="38">D96</f>
        <v>"NAV Direct","CRONUS JetCorp USA","21","1","118158"</v>
      </c>
      <c r="E97" s="1" t="str">
        <f t="shared" ref="E97" si="39">E96</f>
        <v>C100126</v>
      </c>
      <c r="F97" s="1">
        <v>118158</v>
      </c>
      <c r="H97" s="11" t="str">
        <f>"""NAV Direct"",""CRONUS JetCorp USA"",""379"",""1"",""7643"""</f>
        <v>"NAV Direct","CRONUS JetCorp USA","379","1","7643"</v>
      </c>
      <c r="I97" s="54"/>
      <c r="J97" s="47" t="str">
        <f>"Payment"</f>
        <v>Payment</v>
      </c>
      <c r="K97" s="47" t="str">
        <f>"GRC102956"</f>
        <v>GRC102956</v>
      </c>
      <c r="L97" s="60"/>
      <c r="M97" s="60">
        <v>43575</v>
      </c>
      <c r="N97" s="63" t="str">
        <f>""</f>
        <v/>
      </c>
      <c r="O97" s="82">
        <v>0</v>
      </c>
      <c r="P97" s="83">
        <v>0</v>
      </c>
      <c r="Q97" s="84">
        <v>-13317.560000000001</v>
      </c>
      <c r="R97" s="66">
        <v>0</v>
      </c>
    </row>
    <row r="98" spans="1:18" ht="9" customHeight="1" x14ac:dyDescent="0.3">
      <c r="A98" s="1" t="s">
        <v>41</v>
      </c>
      <c r="I98" s="54"/>
      <c r="J98" s="47"/>
      <c r="K98" s="47"/>
      <c r="L98" s="60"/>
      <c r="M98" s="60"/>
      <c r="N98" s="68"/>
      <c r="O98" s="67"/>
      <c r="P98" s="64"/>
      <c r="Q98" s="65"/>
      <c r="R98" s="62"/>
    </row>
    <row r="99" spans="1:18" x14ac:dyDescent="0.3">
      <c r="A99" s="1" t="s">
        <v>41</v>
      </c>
      <c r="I99" s="54"/>
      <c r="J99" s="47"/>
      <c r="K99" s="47"/>
      <c r="L99" s="60"/>
      <c r="M99" s="60"/>
      <c r="N99" s="68"/>
      <c r="O99" s="69"/>
      <c r="P99" s="70"/>
      <c r="Q99" s="71"/>
      <c r="R99" s="72"/>
    </row>
    <row r="100" spans="1:18" ht="17.25" x14ac:dyDescent="0.3">
      <c r="A100" s="1" t="s">
        <v>41</v>
      </c>
      <c r="I100" s="29"/>
      <c r="J100" s="30"/>
      <c r="K100" s="31"/>
      <c r="L100" s="32"/>
      <c r="M100" s="31"/>
      <c r="N100" s="31"/>
      <c r="O100" s="31"/>
      <c r="P100" s="31"/>
      <c r="Q100" s="42" t="str">
        <f>CONCATENATE(I91," - ",I92,"      Remaining Amount  In Local Currency")</f>
        <v>C100126 - Moveex      Remaining Amount  In Local Currency</v>
      </c>
      <c r="R100" s="45">
        <f>SUBTOTAL(9,R96:R99)</f>
        <v>0</v>
      </c>
    </row>
    <row r="101" spans="1:18" ht="17.25" x14ac:dyDescent="0.3">
      <c r="A101" s="1" t="s">
        <v>41</v>
      </c>
      <c r="H101" s="12" t="str">
        <f>"""NAV Direct"",""CRONUS JetCorp USA"",""18"",""1"",""C100134"""</f>
        <v>"NAV Direct","CRONUS JetCorp USA","18","1","C100134"</v>
      </c>
      <c r="I101" s="26" t="str">
        <f>"C100134"</f>
        <v>C100134</v>
      </c>
      <c r="J101" s="33"/>
      <c r="K101" s="34"/>
      <c r="L101" s="35"/>
      <c r="M101" s="34"/>
      <c r="N101" s="34"/>
      <c r="O101" s="25"/>
      <c r="P101" s="36"/>
      <c r="Q101" s="39"/>
      <c r="R101" s="43"/>
    </row>
    <row r="102" spans="1:18" ht="17.25" x14ac:dyDescent="0.3">
      <c r="A102" s="1" t="s">
        <v>41</v>
      </c>
      <c r="H102" s="1" t="str">
        <f>H101</f>
        <v>"NAV Direct","CRONUS JetCorp USA","18","1","C100134"</v>
      </c>
      <c r="I102" s="27" t="str">
        <f>"Iber Tech"</f>
        <v>Iber Tech</v>
      </c>
      <c r="J102" s="14"/>
      <c r="K102" s="14"/>
      <c r="L102" s="14"/>
      <c r="M102" s="14"/>
      <c r="N102" s="14"/>
      <c r="O102" s="14"/>
      <c r="P102" s="14"/>
      <c r="Q102" s="40"/>
      <c r="R102" s="28"/>
    </row>
    <row r="103" spans="1:18" ht="17.25" x14ac:dyDescent="0.3">
      <c r="A103" s="1" t="s">
        <v>41</v>
      </c>
      <c r="H103" s="1" t="str">
        <f>H102</f>
        <v>"NAV Direct","CRONUS JetCorp USA","18","1","C100134"</v>
      </c>
      <c r="I103" s="27" t="str">
        <f>"Irvin Neal"</f>
        <v>Irvin Neal</v>
      </c>
      <c r="J103" s="14"/>
      <c r="K103" s="14"/>
      <c r="L103" s="14"/>
      <c r="M103" s="14"/>
      <c r="N103" s="50" t="s">
        <v>42</v>
      </c>
      <c r="O103" s="50"/>
      <c r="P103" s="50"/>
      <c r="Q103" s="48" t="s">
        <v>43</v>
      </c>
      <c r="R103" s="49"/>
    </row>
    <row r="104" spans="1:18" x14ac:dyDescent="0.3">
      <c r="A104" s="1" t="s">
        <v>41</v>
      </c>
      <c r="I104" s="51"/>
      <c r="J104" s="52"/>
      <c r="K104" s="46"/>
      <c r="L104" s="53"/>
      <c r="M104" s="46"/>
      <c r="N104" s="73"/>
      <c r="O104" s="74"/>
      <c r="P104" s="74" t="s">
        <v>34</v>
      </c>
      <c r="Q104" s="75"/>
      <c r="R104" s="76" t="s">
        <v>34</v>
      </c>
    </row>
    <row r="105" spans="1:18" x14ac:dyDescent="0.3">
      <c r="A105" s="1" t="s">
        <v>41</v>
      </c>
      <c r="D105" s="1" t="s">
        <v>29</v>
      </c>
      <c r="E105" s="1" t="s">
        <v>27</v>
      </c>
      <c r="F105" s="1" t="s">
        <v>26</v>
      </c>
      <c r="G105" s="16" t="s">
        <v>26</v>
      </c>
      <c r="I105" s="54"/>
      <c r="J105" s="55" t="s">
        <v>7</v>
      </c>
      <c r="K105" s="55" t="s">
        <v>23</v>
      </c>
      <c r="L105" s="56" t="s">
        <v>2</v>
      </c>
      <c r="M105" s="56" t="s">
        <v>3</v>
      </c>
      <c r="N105" s="77" t="s">
        <v>35</v>
      </c>
      <c r="O105" s="78" t="s">
        <v>33</v>
      </c>
      <c r="P105" s="79" t="s">
        <v>29</v>
      </c>
      <c r="Q105" s="80" t="s">
        <v>24</v>
      </c>
      <c r="R105" s="81" t="s">
        <v>24</v>
      </c>
    </row>
    <row r="106" spans="1:18" x14ac:dyDescent="0.3">
      <c r="A106" s="1" t="s">
        <v>41</v>
      </c>
      <c r="D106" s="1" t="str">
        <f t="shared" ref="D106" si="40">H106</f>
        <v>"NAV Direct","CRONUS JetCorp USA","21","1","40677"</v>
      </c>
      <c r="E106" s="1" t="str">
        <f t="shared" ref="E106" si="41">I101</f>
        <v>C100134</v>
      </c>
      <c r="F106" s="6"/>
      <c r="G106" s="1">
        <v>40677</v>
      </c>
      <c r="H106" s="11" t="str">
        <f>"""NAV Direct"",""CRONUS JetCorp USA"",""21"",""1"",""40677"""</f>
        <v>"NAV Direct","CRONUS JetCorp USA","21","1","40677"</v>
      </c>
      <c r="I106" s="57"/>
      <c r="J106" s="58" t="str">
        <f>"Order S106838"</f>
        <v>Order S106838</v>
      </c>
      <c r="K106" s="58" t="str">
        <f>"SI_104889"</f>
        <v>SI_104889</v>
      </c>
      <c r="L106" s="59">
        <v>43573</v>
      </c>
      <c r="M106" s="59">
        <v>43559</v>
      </c>
      <c r="N106" s="63" t="str">
        <f>"EUR"</f>
        <v>EUR</v>
      </c>
      <c r="O106" s="82">
        <v>4514.62</v>
      </c>
      <c r="P106" s="83">
        <v>0</v>
      </c>
      <c r="Q106" s="84">
        <v>6008.05</v>
      </c>
      <c r="R106" s="85">
        <v>0</v>
      </c>
    </row>
    <row r="107" spans="1:18" x14ac:dyDescent="0.3">
      <c r="A107" s="1" t="s">
        <v>41</v>
      </c>
      <c r="B107" s="1" t="str">
        <f t="shared" ref="B107" si="42">IF(H107="","Hide","Show")</f>
        <v>Show</v>
      </c>
      <c r="D107" s="1" t="str">
        <f t="shared" ref="D107" si="43">D106</f>
        <v>"NAV Direct","CRONUS JetCorp USA","21","1","40677"</v>
      </c>
      <c r="E107" s="1" t="str">
        <f t="shared" ref="E107" si="44">E106</f>
        <v>C100134</v>
      </c>
      <c r="F107" s="1">
        <v>40677</v>
      </c>
      <c r="H107" s="11" t="str">
        <f>"""NAV Direct"",""CRONUS JetCorp USA"",""379"",""1"",""14896"""</f>
        <v>"NAV Direct","CRONUS JetCorp USA","379","1","14896"</v>
      </c>
      <c r="I107" s="54"/>
      <c r="J107" s="47" t="str">
        <f>"Payment"</f>
        <v>Payment</v>
      </c>
      <c r="K107" s="47" t="str">
        <f>"GRC104971"</f>
        <v>GRC104971</v>
      </c>
      <c r="L107" s="60"/>
      <c r="M107" s="60">
        <v>43636</v>
      </c>
      <c r="N107" s="63" t="str">
        <f>"EUR"</f>
        <v>EUR</v>
      </c>
      <c r="O107" s="82">
        <v>-4514.62</v>
      </c>
      <c r="P107" s="83">
        <v>0</v>
      </c>
      <c r="Q107" s="84">
        <v>-6008.05</v>
      </c>
      <c r="R107" s="66">
        <v>0</v>
      </c>
    </row>
    <row r="108" spans="1:18" ht="9" customHeight="1" x14ac:dyDescent="0.3">
      <c r="A108" s="1" t="s">
        <v>41</v>
      </c>
      <c r="I108" s="54"/>
      <c r="J108" s="47"/>
      <c r="K108" s="47"/>
      <c r="L108" s="60"/>
      <c r="M108" s="60"/>
      <c r="N108" s="68"/>
      <c r="O108" s="67"/>
      <c r="P108" s="64"/>
      <c r="Q108" s="65"/>
      <c r="R108" s="62"/>
    </row>
    <row r="109" spans="1:18" x14ac:dyDescent="0.3">
      <c r="A109" s="1" t="s">
        <v>41</v>
      </c>
      <c r="I109" s="54"/>
      <c r="J109" s="47"/>
      <c r="K109" s="47"/>
      <c r="L109" s="60"/>
      <c r="M109" s="60"/>
      <c r="N109" s="68"/>
      <c r="O109" s="69"/>
      <c r="P109" s="70"/>
      <c r="Q109" s="71"/>
      <c r="R109" s="72"/>
    </row>
    <row r="110" spans="1:18" ht="17.25" x14ac:dyDescent="0.3">
      <c r="A110" s="1" t="s">
        <v>41</v>
      </c>
      <c r="I110" s="29"/>
      <c r="J110" s="30"/>
      <c r="K110" s="31"/>
      <c r="L110" s="32"/>
      <c r="M110" s="31"/>
      <c r="N110" s="31"/>
      <c r="O110" s="31"/>
      <c r="P110" s="31"/>
      <c r="Q110" s="42" t="str">
        <f>CONCATENATE(I101," - ",I102,"      Remaining Amount  In Local Currency")</f>
        <v>C100134 - Iber Tech      Remaining Amount  In Local Currency</v>
      </c>
      <c r="R110" s="45">
        <f>SUBTOTAL(9,R106:R109)</f>
        <v>0</v>
      </c>
    </row>
    <row r="111" spans="1:18" ht="17.25" x14ac:dyDescent="0.3">
      <c r="A111" s="1" t="s">
        <v>41</v>
      </c>
      <c r="H111" s="12" t="str">
        <f>"""NAV Direct"",""CRONUS JetCorp USA"",""18"",""1"",""C100135"""</f>
        <v>"NAV Direct","CRONUS JetCorp USA","18","1","C100135"</v>
      </c>
      <c r="I111" s="26" t="str">
        <f>"C100135"</f>
        <v>C100135</v>
      </c>
      <c r="J111" s="33"/>
      <c r="K111" s="34"/>
      <c r="L111" s="35"/>
      <c r="M111" s="34"/>
      <c r="N111" s="34"/>
      <c r="O111" s="25"/>
      <c r="P111" s="36"/>
      <c r="Q111" s="39"/>
      <c r="R111" s="43"/>
    </row>
    <row r="112" spans="1:18" ht="17.25" x14ac:dyDescent="0.3">
      <c r="A112" s="1" t="s">
        <v>41</v>
      </c>
      <c r="H112" s="1" t="str">
        <f>H111</f>
        <v>"NAV Direct","CRONUS JetCorp USA","18","1","C100135"</v>
      </c>
      <c r="I112" s="27" t="str">
        <f>"Zumi's"</f>
        <v>Zumi's</v>
      </c>
      <c r="J112" s="14"/>
      <c r="K112" s="14"/>
      <c r="L112" s="14"/>
      <c r="M112" s="14"/>
      <c r="N112" s="14"/>
      <c r="O112" s="14"/>
      <c r="P112" s="14"/>
      <c r="Q112" s="40"/>
      <c r="R112" s="28"/>
    </row>
    <row r="113" spans="1:18" ht="17.25" x14ac:dyDescent="0.3">
      <c r="A113" s="1" t="s">
        <v>41</v>
      </c>
      <c r="H113" s="1" t="str">
        <f>H112</f>
        <v>"NAV Direct","CRONUS JetCorp USA","18","1","C100135"</v>
      </c>
      <c r="I113" s="27" t="str">
        <f>"Freda Clifford Craft"</f>
        <v>Freda Clifford Craft</v>
      </c>
      <c r="J113" s="14"/>
      <c r="K113" s="14"/>
      <c r="L113" s="14"/>
      <c r="M113" s="14"/>
      <c r="N113" s="50" t="s">
        <v>42</v>
      </c>
      <c r="O113" s="50"/>
      <c r="P113" s="50"/>
      <c r="Q113" s="48" t="s">
        <v>43</v>
      </c>
      <c r="R113" s="49"/>
    </row>
    <row r="114" spans="1:18" x14ac:dyDescent="0.3">
      <c r="A114" s="1" t="s">
        <v>41</v>
      </c>
      <c r="I114" s="51"/>
      <c r="J114" s="52"/>
      <c r="K114" s="46"/>
      <c r="L114" s="53"/>
      <c r="M114" s="46"/>
      <c r="N114" s="73"/>
      <c r="O114" s="74"/>
      <c r="P114" s="74" t="s">
        <v>34</v>
      </c>
      <c r="Q114" s="75"/>
      <c r="R114" s="76" t="s">
        <v>34</v>
      </c>
    </row>
    <row r="115" spans="1:18" x14ac:dyDescent="0.3">
      <c r="A115" s="1" t="s">
        <v>41</v>
      </c>
      <c r="D115" s="1" t="s">
        <v>29</v>
      </c>
      <c r="E115" s="1" t="s">
        <v>27</v>
      </c>
      <c r="F115" s="1" t="s">
        <v>26</v>
      </c>
      <c r="G115" s="16" t="s">
        <v>26</v>
      </c>
      <c r="I115" s="54"/>
      <c r="J115" s="55" t="s">
        <v>7</v>
      </c>
      <c r="K115" s="55" t="s">
        <v>23</v>
      </c>
      <c r="L115" s="56" t="s">
        <v>2</v>
      </c>
      <c r="M115" s="56" t="s">
        <v>3</v>
      </c>
      <c r="N115" s="77" t="s">
        <v>35</v>
      </c>
      <c r="O115" s="78" t="s">
        <v>33</v>
      </c>
      <c r="P115" s="79" t="s">
        <v>29</v>
      </c>
      <c r="Q115" s="80" t="s">
        <v>24</v>
      </c>
      <c r="R115" s="81" t="s">
        <v>24</v>
      </c>
    </row>
    <row r="116" spans="1:18" x14ac:dyDescent="0.3">
      <c r="A116" s="1" t="s">
        <v>41</v>
      </c>
      <c r="D116" s="1" t="str">
        <f t="shared" ref="D116" si="45">H116</f>
        <v>"NAV Direct","CRONUS JetCorp USA","21","1","168853"</v>
      </c>
      <c r="E116" s="1" t="str">
        <f t="shared" ref="E116" si="46">I111</f>
        <v>C100135</v>
      </c>
      <c r="F116" s="6"/>
      <c r="G116" s="1">
        <v>168853</v>
      </c>
      <c r="H116" s="11" t="str">
        <f>"""NAV Direct"",""CRONUS JetCorp USA"",""21"",""1"",""168853"""</f>
        <v>"NAV Direct","CRONUS JetCorp USA","21","1","168853"</v>
      </c>
      <c r="I116" s="57"/>
      <c r="J116" s="58" t="str">
        <f>"Order S109592"</f>
        <v>Order S109592</v>
      </c>
      <c r="K116" s="58" t="str">
        <f>"SI_107643"</f>
        <v>SI_107643</v>
      </c>
      <c r="L116" s="59">
        <v>43571</v>
      </c>
      <c r="M116" s="59">
        <v>43557</v>
      </c>
      <c r="N116" s="63" t="str">
        <f>""</f>
        <v/>
      </c>
      <c r="O116" s="82">
        <v>0</v>
      </c>
      <c r="P116" s="83">
        <v>0</v>
      </c>
      <c r="Q116" s="84">
        <v>8845.8599999999988</v>
      </c>
      <c r="R116" s="85">
        <v>0</v>
      </c>
    </row>
    <row r="117" spans="1:18" x14ac:dyDescent="0.3">
      <c r="A117" s="1" t="s">
        <v>41</v>
      </c>
      <c r="B117" s="1" t="str">
        <f t="shared" ref="B117" si="47">IF(H117="","Hide","Show")</f>
        <v>Show</v>
      </c>
      <c r="D117" s="1" t="str">
        <f t="shared" ref="D117" si="48">D116</f>
        <v>"NAV Direct","CRONUS JetCorp USA","21","1","168853"</v>
      </c>
      <c r="E117" s="1" t="str">
        <f t="shared" ref="E117" si="49">E116</f>
        <v>C100135</v>
      </c>
      <c r="F117" s="1">
        <v>168853</v>
      </c>
      <c r="H117" s="11" t="str">
        <f>"""NAV Direct"",""CRONUS JetCorp USA"",""379"",""1"",""12130"""</f>
        <v>"NAV Direct","CRONUS JetCorp USA","379","1","12130"</v>
      </c>
      <c r="I117" s="54"/>
      <c r="J117" s="47" t="str">
        <f>"Payment"</f>
        <v>Payment</v>
      </c>
      <c r="K117" s="47" t="str">
        <f>"GRC104172"</f>
        <v>GRC104172</v>
      </c>
      <c r="L117" s="60"/>
      <c r="M117" s="60">
        <v>43624</v>
      </c>
      <c r="N117" s="63" t="str">
        <f>""</f>
        <v/>
      </c>
      <c r="O117" s="82">
        <v>0</v>
      </c>
      <c r="P117" s="83">
        <v>0</v>
      </c>
      <c r="Q117" s="84">
        <v>-8845.8599999999988</v>
      </c>
      <c r="R117" s="66">
        <v>0</v>
      </c>
    </row>
    <row r="118" spans="1:18" ht="9" customHeight="1" x14ac:dyDescent="0.3">
      <c r="A118" s="1" t="s">
        <v>41</v>
      </c>
      <c r="I118" s="54"/>
      <c r="J118" s="47"/>
      <c r="K118" s="47"/>
      <c r="L118" s="60"/>
      <c r="M118" s="60"/>
      <c r="N118" s="68"/>
      <c r="O118" s="67"/>
      <c r="P118" s="64"/>
      <c r="Q118" s="65"/>
      <c r="R118" s="62"/>
    </row>
    <row r="119" spans="1:18" x14ac:dyDescent="0.3">
      <c r="A119" s="1" t="s">
        <v>41</v>
      </c>
      <c r="D119" s="1" t="str">
        <f t="shared" ref="D119:D124" si="50">H119</f>
        <v>"NAV Direct","CRONUS JetCorp USA","21","1","168922"</v>
      </c>
      <c r="E119" s="1">
        <f t="shared" ref="E119" si="51">I114</f>
        <v>0</v>
      </c>
      <c r="F119" s="6"/>
      <c r="G119" s="1">
        <v>168922</v>
      </c>
      <c r="H119" s="11" t="str">
        <f>"""NAV Direct"",""CRONUS JetCorp USA"",""21"",""1"",""168922"""</f>
        <v>"NAV Direct","CRONUS JetCorp USA","21","1","168922"</v>
      </c>
      <c r="I119" s="57"/>
      <c r="J119" s="58" t="str">
        <f>"Order S109593"</f>
        <v>Order S109593</v>
      </c>
      <c r="K119" s="58" t="str">
        <f>"SI_107644"</f>
        <v>SI_107644</v>
      </c>
      <c r="L119" s="59">
        <v>43571</v>
      </c>
      <c r="M119" s="59">
        <v>43557</v>
      </c>
      <c r="N119" s="63" t="str">
        <f>""</f>
        <v/>
      </c>
      <c r="O119" s="82">
        <v>0</v>
      </c>
      <c r="P119" s="83">
        <v>0</v>
      </c>
      <c r="Q119" s="84">
        <v>8572.24</v>
      </c>
      <c r="R119" s="85">
        <v>0</v>
      </c>
    </row>
    <row r="120" spans="1:18" x14ac:dyDescent="0.3">
      <c r="A120" s="1" t="s">
        <v>41</v>
      </c>
      <c r="B120" s="1" t="str">
        <f t="shared" ref="B120:B124" si="52">IF(H120="","Hide","Show")</f>
        <v>Show</v>
      </c>
      <c r="D120" s="1" t="str">
        <f t="shared" ref="D120:D124" si="53">D119</f>
        <v>"NAV Direct","CRONUS JetCorp USA","21","1","168922"</v>
      </c>
      <c r="E120" s="1">
        <f t="shared" ref="E120:E124" si="54">E119</f>
        <v>0</v>
      </c>
      <c r="F120" s="1">
        <v>168922</v>
      </c>
      <c r="H120" s="11" t="str">
        <f>"""NAV Direct"",""CRONUS JetCorp USA"",""379"",""1"",""12132"""</f>
        <v>"NAV Direct","CRONUS JetCorp USA","379","1","12132"</v>
      </c>
      <c r="I120" s="54"/>
      <c r="J120" s="47" t="str">
        <f>"Payment"</f>
        <v>Payment</v>
      </c>
      <c r="K120" s="47" t="str">
        <f>"GRC104172"</f>
        <v>GRC104172</v>
      </c>
      <c r="L120" s="60"/>
      <c r="M120" s="60">
        <v>43624</v>
      </c>
      <c r="N120" s="63" t="str">
        <f>""</f>
        <v/>
      </c>
      <c r="O120" s="82">
        <v>0</v>
      </c>
      <c r="P120" s="83">
        <v>0</v>
      </c>
      <c r="Q120" s="84">
        <v>-8572.24</v>
      </c>
      <c r="R120" s="66">
        <v>0</v>
      </c>
    </row>
    <row r="121" spans="1:18" ht="9" customHeight="1" x14ac:dyDescent="0.3">
      <c r="A121" s="1" t="s">
        <v>41</v>
      </c>
      <c r="I121" s="54"/>
      <c r="J121" s="47"/>
      <c r="K121" s="47"/>
      <c r="L121" s="60"/>
      <c r="M121" s="60"/>
      <c r="N121" s="68"/>
      <c r="O121" s="67"/>
      <c r="P121" s="64"/>
      <c r="Q121" s="65"/>
      <c r="R121" s="62"/>
    </row>
    <row r="122" spans="1:18" x14ac:dyDescent="0.3">
      <c r="A122" s="1" t="s">
        <v>41</v>
      </c>
      <c r="D122" s="1" t="str">
        <f t="shared" ref="D122:D124" si="55">H122</f>
        <v>"NAV Direct","CRONUS JetCorp USA","21","1","169186"</v>
      </c>
      <c r="E122" s="1">
        <f t="shared" ref="E122" si="56">I117</f>
        <v>0</v>
      </c>
      <c r="F122" s="6"/>
      <c r="G122" s="1">
        <v>169186</v>
      </c>
      <c r="H122" s="11" t="str">
        <f>"""NAV Direct"",""CRONUS JetCorp USA"",""21"",""1"",""169186"""</f>
        <v>"NAV Direct","CRONUS JetCorp USA","21","1","169186"</v>
      </c>
      <c r="I122" s="57"/>
      <c r="J122" s="58" t="str">
        <f>"Order S109597"</f>
        <v>Order S109597</v>
      </c>
      <c r="K122" s="58" t="str">
        <f>"SI_107648"</f>
        <v>SI_107648</v>
      </c>
      <c r="L122" s="59">
        <v>43574</v>
      </c>
      <c r="M122" s="59">
        <v>43560</v>
      </c>
      <c r="N122" s="63" t="str">
        <f>""</f>
        <v/>
      </c>
      <c r="O122" s="82">
        <v>0</v>
      </c>
      <c r="P122" s="83">
        <v>0</v>
      </c>
      <c r="Q122" s="84">
        <v>8298.77</v>
      </c>
      <c r="R122" s="85">
        <v>0</v>
      </c>
    </row>
    <row r="123" spans="1:18" x14ac:dyDescent="0.3">
      <c r="A123" s="1" t="s">
        <v>41</v>
      </c>
      <c r="B123" s="1" t="str">
        <f t="shared" ref="B123:B124" si="57">IF(H123="","Hide","Show")</f>
        <v>Show</v>
      </c>
      <c r="D123" s="1" t="str">
        <f t="shared" ref="D123:D124" si="58">D122</f>
        <v>"NAV Direct","CRONUS JetCorp USA","21","1","169186"</v>
      </c>
      <c r="E123" s="1">
        <f t="shared" ref="E123:E124" si="59">E122</f>
        <v>0</v>
      </c>
      <c r="F123" s="1">
        <v>169186</v>
      </c>
      <c r="H123" s="11" t="str">
        <f>"""NAV Direct"",""CRONUS JetCorp USA"",""379"",""1"",""12133"""</f>
        <v>"NAV Direct","CRONUS JetCorp USA","379","1","12133"</v>
      </c>
      <c r="I123" s="54"/>
      <c r="J123" s="47" t="str">
        <f>"Payment"</f>
        <v>Payment</v>
      </c>
      <c r="K123" s="47" t="str">
        <f>"GRC104172"</f>
        <v>GRC104172</v>
      </c>
      <c r="L123" s="60"/>
      <c r="M123" s="60">
        <v>43624</v>
      </c>
      <c r="N123" s="63" t="str">
        <f>""</f>
        <v/>
      </c>
      <c r="O123" s="82">
        <v>0</v>
      </c>
      <c r="P123" s="83">
        <v>0</v>
      </c>
      <c r="Q123" s="84">
        <v>-8298.77</v>
      </c>
      <c r="R123" s="66">
        <v>0</v>
      </c>
    </row>
    <row r="124" spans="1:18" ht="9" customHeight="1" x14ac:dyDescent="0.3">
      <c r="A124" s="1" t="s">
        <v>41</v>
      </c>
      <c r="I124" s="54"/>
      <c r="J124" s="47"/>
      <c r="K124" s="47"/>
      <c r="L124" s="60"/>
      <c r="M124" s="60"/>
      <c r="N124" s="68"/>
      <c r="O124" s="67"/>
      <c r="P124" s="64"/>
      <c r="Q124" s="65"/>
      <c r="R124" s="62"/>
    </row>
    <row r="125" spans="1:18" x14ac:dyDescent="0.3">
      <c r="A125" s="1" t="s">
        <v>41</v>
      </c>
      <c r="I125" s="54"/>
      <c r="J125" s="47"/>
      <c r="K125" s="47"/>
      <c r="L125" s="60"/>
      <c r="M125" s="60"/>
      <c r="N125" s="68"/>
      <c r="O125" s="69"/>
      <c r="P125" s="70"/>
      <c r="Q125" s="71"/>
      <c r="R125" s="72"/>
    </row>
    <row r="126" spans="1:18" ht="17.25" x14ac:dyDescent="0.3">
      <c r="A126" s="1" t="s">
        <v>41</v>
      </c>
      <c r="I126" s="29"/>
      <c r="J126" s="30"/>
      <c r="K126" s="31"/>
      <c r="L126" s="32"/>
      <c r="M126" s="31"/>
      <c r="N126" s="31"/>
      <c r="O126" s="31"/>
      <c r="P126" s="31"/>
      <c r="Q126" s="42" t="str">
        <f>CONCATENATE(I111," - ",I112,"      Remaining Amount  In Local Currency")</f>
        <v>C100135 - Zumi's      Remaining Amount  In Local Currency</v>
      </c>
      <c r="R126" s="45">
        <f>SUBTOTAL(9,R116:R125)</f>
        <v>0</v>
      </c>
    </row>
    <row r="127" spans="1:18" ht="17.25" x14ac:dyDescent="0.3">
      <c r="A127" s="1" t="s">
        <v>41</v>
      </c>
      <c r="H127" s="12" t="str">
        <f>"""NAV Direct"",""CRONUS JetCorp USA"",""18"",""1"",""C100137"""</f>
        <v>"NAV Direct","CRONUS JetCorp USA","18","1","C100137"</v>
      </c>
      <c r="I127" s="26" t="str">
        <f>"C100137"</f>
        <v>C100137</v>
      </c>
      <c r="J127" s="33"/>
      <c r="K127" s="34"/>
      <c r="L127" s="35"/>
      <c r="M127" s="34"/>
      <c r="N127" s="34"/>
      <c r="O127" s="25"/>
      <c r="P127" s="36"/>
      <c r="Q127" s="39"/>
      <c r="R127" s="43"/>
    </row>
    <row r="128" spans="1:18" ht="17.25" x14ac:dyDescent="0.3">
      <c r="A128" s="1" t="s">
        <v>41</v>
      </c>
      <c r="H128" s="1" t="str">
        <f>H127</f>
        <v>"NAV Direct","CRONUS JetCorp USA","18","1","C100137"</v>
      </c>
      <c r="I128" s="27" t="str">
        <f>"Odessy Sports"</f>
        <v>Odessy Sports</v>
      </c>
      <c r="J128" s="14"/>
      <c r="K128" s="14"/>
      <c r="L128" s="14"/>
      <c r="M128" s="14"/>
      <c r="N128" s="14"/>
      <c r="O128" s="14"/>
      <c r="P128" s="14"/>
      <c r="Q128" s="40"/>
      <c r="R128" s="28"/>
    </row>
    <row r="129" spans="1:18" ht="17.25" x14ac:dyDescent="0.3">
      <c r="A129" s="1" t="s">
        <v>41</v>
      </c>
      <c r="H129" s="1" t="str">
        <f>H128</f>
        <v>"NAV Direct","CRONUS JetCorp USA","18","1","C100137"</v>
      </c>
      <c r="I129" s="27" t="str">
        <f>"Louisa Matthews"</f>
        <v>Louisa Matthews</v>
      </c>
      <c r="J129" s="14"/>
      <c r="K129" s="14"/>
      <c r="L129" s="14"/>
      <c r="M129" s="14"/>
      <c r="N129" s="50" t="s">
        <v>42</v>
      </c>
      <c r="O129" s="50"/>
      <c r="P129" s="50"/>
      <c r="Q129" s="48" t="s">
        <v>43</v>
      </c>
      <c r="R129" s="49"/>
    </row>
    <row r="130" spans="1:18" x14ac:dyDescent="0.3">
      <c r="A130" s="1" t="s">
        <v>41</v>
      </c>
      <c r="I130" s="51"/>
      <c r="J130" s="52"/>
      <c r="K130" s="46"/>
      <c r="L130" s="53"/>
      <c r="M130" s="46"/>
      <c r="N130" s="73"/>
      <c r="O130" s="74"/>
      <c r="P130" s="74" t="s">
        <v>34</v>
      </c>
      <c r="Q130" s="75"/>
      <c r="R130" s="76" t="s">
        <v>34</v>
      </c>
    </row>
    <row r="131" spans="1:18" x14ac:dyDescent="0.3">
      <c r="A131" s="1" t="s">
        <v>41</v>
      </c>
      <c r="D131" s="1" t="s">
        <v>29</v>
      </c>
      <c r="E131" s="1" t="s">
        <v>27</v>
      </c>
      <c r="F131" s="1" t="s">
        <v>26</v>
      </c>
      <c r="G131" s="16" t="s">
        <v>26</v>
      </c>
      <c r="I131" s="54"/>
      <c r="J131" s="55" t="s">
        <v>7</v>
      </c>
      <c r="K131" s="55" t="s">
        <v>23</v>
      </c>
      <c r="L131" s="56" t="s">
        <v>2</v>
      </c>
      <c r="M131" s="56" t="s">
        <v>3</v>
      </c>
      <c r="N131" s="77" t="s">
        <v>35</v>
      </c>
      <c r="O131" s="78" t="s">
        <v>33</v>
      </c>
      <c r="P131" s="79" t="s">
        <v>29</v>
      </c>
      <c r="Q131" s="80" t="s">
        <v>24</v>
      </c>
      <c r="R131" s="81" t="s">
        <v>24</v>
      </c>
    </row>
    <row r="132" spans="1:18" x14ac:dyDescent="0.3">
      <c r="A132" s="1" t="s">
        <v>41</v>
      </c>
      <c r="D132" s="1" t="str">
        <f t="shared" ref="D132:D146" si="60">H132</f>
        <v>"NAV Direct","CRONUS JetCorp USA","21","1","55109"</v>
      </c>
      <c r="E132" s="1" t="str">
        <f t="shared" ref="E132" si="61">I127</f>
        <v>C100137</v>
      </c>
      <c r="F132" s="6"/>
      <c r="G132" s="1">
        <v>55109</v>
      </c>
      <c r="H132" s="11" t="str">
        <f>"""NAV Direct"",""CRONUS JetCorp USA"",""21"",""1"",""55109"""</f>
        <v>"NAV Direct","CRONUS JetCorp USA","21","1","55109"</v>
      </c>
      <c r="I132" s="57"/>
      <c r="J132" s="58" t="str">
        <f>"Order S107242"</f>
        <v>Order S107242</v>
      </c>
      <c r="K132" s="58" t="str">
        <f>"SI_105293"</f>
        <v>SI_105293</v>
      </c>
      <c r="L132" s="59">
        <v>43573</v>
      </c>
      <c r="M132" s="59">
        <v>43559</v>
      </c>
      <c r="N132" s="63" t="str">
        <f>""</f>
        <v/>
      </c>
      <c r="O132" s="82">
        <v>0</v>
      </c>
      <c r="P132" s="83">
        <v>0</v>
      </c>
      <c r="Q132" s="84">
        <v>18994.68</v>
      </c>
      <c r="R132" s="85">
        <v>0</v>
      </c>
    </row>
    <row r="133" spans="1:18" x14ac:dyDescent="0.3">
      <c r="A133" s="1" t="s">
        <v>41</v>
      </c>
      <c r="B133" s="1" t="str">
        <f t="shared" ref="B133:B146" si="62">IF(H133="","Hide","Show")</f>
        <v>Show</v>
      </c>
      <c r="D133" s="1" t="str">
        <f t="shared" ref="D133:D146" si="63">D132</f>
        <v>"NAV Direct","CRONUS JetCorp USA","21","1","55109"</v>
      </c>
      <c r="E133" s="1" t="str">
        <f t="shared" ref="E133:E146" si="64">E132</f>
        <v>C100137</v>
      </c>
      <c r="F133" s="1">
        <v>55109</v>
      </c>
      <c r="H133" s="11" t="str">
        <f>"""NAV Direct"",""CRONUS JetCorp USA"",""379"",""1"",""5960"""</f>
        <v>"NAV Direct","CRONUS JetCorp USA","379","1","5960"</v>
      </c>
      <c r="I133" s="54"/>
      <c r="J133" s="47" t="str">
        <f>"Payment"</f>
        <v>Payment</v>
      </c>
      <c r="K133" s="47" t="str">
        <f>"GRC102512"</f>
        <v>GRC102512</v>
      </c>
      <c r="L133" s="60"/>
      <c r="M133" s="60">
        <v>43608</v>
      </c>
      <c r="N133" s="63" t="str">
        <f>""</f>
        <v/>
      </c>
      <c r="O133" s="82">
        <v>0</v>
      </c>
      <c r="P133" s="83">
        <v>0</v>
      </c>
      <c r="Q133" s="84">
        <v>-18994.68</v>
      </c>
      <c r="R133" s="66">
        <v>0</v>
      </c>
    </row>
    <row r="134" spans="1:18" ht="9" customHeight="1" x14ac:dyDescent="0.3">
      <c r="A134" s="1" t="s">
        <v>41</v>
      </c>
      <c r="I134" s="54"/>
      <c r="J134" s="47"/>
      <c r="K134" s="47"/>
      <c r="L134" s="60"/>
      <c r="M134" s="60"/>
      <c r="N134" s="68"/>
      <c r="O134" s="67"/>
      <c r="P134" s="64"/>
      <c r="Q134" s="65"/>
      <c r="R134" s="62"/>
    </row>
    <row r="135" spans="1:18" x14ac:dyDescent="0.3">
      <c r="A135" s="1" t="s">
        <v>41</v>
      </c>
      <c r="I135" s="54"/>
      <c r="J135" s="47"/>
      <c r="K135" s="47"/>
      <c r="L135" s="60"/>
      <c r="M135" s="60"/>
      <c r="N135" s="68"/>
      <c r="O135" s="69"/>
      <c r="P135" s="70"/>
      <c r="Q135" s="71"/>
      <c r="R135" s="72"/>
    </row>
    <row r="136" spans="1:18" ht="17.25" x14ac:dyDescent="0.3">
      <c r="A136" s="1" t="s">
        <v>41</v>
      </c>
      <c r="I136" s="29"/>
      <c r="J136" s="30"/>
      <c r="K136" s="31"/>
      <c r="L136" s="32"/>
      <c r="M136" s="31"/>
      <c r="N136" s="31"/>
      <c r="O136" s="31"/>
      <c r="P136" s="31"/>
      <c r="Q136" s="42" t="str">
        <f>CONCATENATE(I127," - ",I128,"      Remaining Amount  In Local Currency")</f>
        <v>C100137 - Odessy Sports      Remaining Amount  In Local Currency</v>
      </c>
      <c r="R136" s="45">
        <f>SUBTOTAL(9,R132:R135)</f>
        <v>0</v>
      </c>
    </row>
    <row r="137" spans="1:18" ht="17.25" x14ac:dyDescent="0.3">
      <c r="A137" s="1" t="s">
        <v>41</v>
      </c>
      <c r="H137" s="12" t="str">
        <f>"""NAV Direct"",""CRONUS JetCorp USA"",""18"",""1"",""C100138"""</f>
        <v>"NAV Direct","CRONUS JetCorp USA","18","1","C100138"</v>
      </c>
      <c r="I137" s="26" t="str">
        <f>"C100138"</f>
        <v>C100138</v>
      </c>
      <c r="J137" s="33"/>
      <c r="K137" s="34"/>
      <c r="L137" s="35"/>
      <c r="M137" s="34"/>
      <c r="N137" s="34"/>
      <c r="O137" s="25"/>
      <c r="P137" s="36"/>
      <c r="Q137" s="39"/>
      <c r="R137" s="43"/>
    </row>
    <row r="138" spans="1:18" ht="17.25" x14ac:dyDescent="0.3">
      <c r="A138" s="1" t="s">
        <v>41</v>
      </c>
      <c r="H138" s="1" t="str">
        <f>H137</f>
        <v>"NAV Direct","CRONUS JetCorp USA","18","1","C100138"</v>
      </c>
      <c r="I138" s="27" t="str">
        <f>"Dantons"</f>
        <v>Dantons</v>
      </c>
      <c r="J138" s="14"/>
      <c r="K138" s="14"/>
      <c r="L138" s="14"/>
      <c r="M138" s="14"/>
      <c r="N138" s="14"/>
      <c r="O138" s="14"/>
      <c r="P138" s="14"/>
      <c r="Q138" s="40"/>
      <c r="R138" s="28"/>
    </row>
    <row r="139" spans="1:18" ht="17.25" x14ac:dyDescent="0.3">
      <c r="A139" s="1" t="s">
        <v>41</v>
      </c>
      <c r="H139" s="1" t="str">
        <f>H138</f>
        <v>"NAV Direct","CRONUS JetCorp USA","18","1","C100138"</v>
      </c>
      <c r="I139" s="27" t="str">
        <f>"Imelda Hensley"</f>
        <v>Imelda Hensley</v>
      </c>
      <c r="J139" s="14"/>
      <c r="K139" s="14"/>
      <c r="L139" s="14"/>
      <c r="M139" s="14"/>
      <c r="N139" s="50" t="s">
        <v>42</v>
      </c>
      <c r="O139" s="50"/>
      <c r="P139" s="50"/>
      <c r="Q139" s="48" t="s">
        <v>43</v>
      </c>
      <c r="R139" s="49"/>
    </row>
    <row r="140" spans="1:18" x14ac:dyDescent="0.3">
      <c r="A140" s="1" t="s">
        <v>41</v>
      </c>
      <c r="I140" s="51"/>
      <c r="J140" s="52"/>
      <c r="K140" s="46"/>
      <c r="L140" s="53"/>
      <c r="M140" s="46"/>
      <c r="N140" s="73"/>
      <c r="O140" s="74"/>
      <c r="P140" s="74" t="s">
        <v>34</v>
      </c>
      <c r="Q140" s="75"/>
      <c r="R140" s="76" t="s">
        <v>34</v>
      </c>
    </row>
    <row r="141" spans="1:18" x14ac:dyDescent="0.3">
      <c r="A141" s="1" t="s">
        <v>41</v>
      </c>
      <c r="D141" s="1" t="s">
        <v>29</v>
      </c>
      <c r="E141" s="1" t="s">
        <v>27</v>
      </c>
      <c r="F141" s="1" t="s">
        <v>26</v>
      </c>
      <c r="G141" s="16" t="s">
        <v>26</v>
      </c>
      <c r="I141" s="54"/>
      <c r="J141" s="55" t="s">
        <v>7</v>
      </c>
      <c r="K141" s="55" t="s">
        <v>23</v>
      </c>
      <c r="L141" s="56" t="s">
        <v>2</v>
      </c>
      <c r="M141" s="56" t="s">
        <v>3</v>
      </c>
      <c r="N141" s="77" t="s">
        <v>35</v>
      </c>
      <c r="O141" s="78" t="s">
        <v>33</v>
      </c>
      <c r="P141" s="79" t="s">
        <v>29</v>
      </c>
      <c r="Q141" s="80" t="s">
        <v>24</v>
      </c>
      <c r="R141" s="81" t="s">
        <v>24</v>
      </c>
    </row>
    <row r="142" spans="1:18" x14ac:dyDescent="0.3">
      <c r="A142" s="1" t="s">
        <v>41</v>
      </c>
      <c r="D142" s="1" t="str">
        <f t="shared" ref="D142:D146" si="65">H142</f>
        <v>"NAV Direct","CRONUS JetCorp USA","21","1","67598"</v>
      </c>
      <c r="E142" s="1" t="str">
        <f t="shared" ref="E142" si="66">I137</f>
        <v>C100138</v>
      </c>
      <c r="F142" s="6"/>
      <c r="G142" s="1">
        <v>67598</v>
      </c>
      <c r="H142" s="11" t="str">
        <f>"""NAV Direct"",""CRONUS JetCorp USA"",""21"",""1"",""67598"""</f>
        <v>"NAV Direct","CRONUS JetCorp USA","21","1","67598"</v>
      </c>
      <c r="I142" s="57"/>
      <c r="J142" s="58" t="str">
        <f>"Order S107587"</f>
        <v>Order S107587</v>
      </c>
      <c r="K142" s="58" t="str">
        <f>"SI_105638"</f>
        <v>SI_105638</v>
      </c>
      <c r="L142" s="59">
        <v>43574</v>
      </c>
      <c r="M142" s="59">
        <v>43560</v>
      </c>
      <c r="N142" s="63" t="str">
        <f>""</f>
        <v/>
      </c>
      <c r="O142" s="82">
        <v>0</v>
      </c>
      <c r="P142" s="83">
        <v>0</v>
      </c>
      <c r="Q142" s="84">
        <v>19874.95</v>
      </c>
      <c r="R142" s="85">
        <v>0</v>
      </c>
    </row>
    <row r="143" spans="1:18" x14ac:dyDescent="0.3">
      <c r="A143" s="1" t="s">
        <v>41</v>
      </c>
      <c r="B143" s="1" t="str">
        <f t="shared" ref="B143:B146" si="67">IF(H143="","Hide","Show")</f>
        <v>Show</v>
      </c>
      <c r="D143" s="1" t="str">
        <f t="shared" ref="D143:D146" si="68">D142</f>
        <v>"NAV Direct","CRONUS JetCorp USA","21","1","67598"</v>
      </c>
      <c r="E143" s="1" t="str">
        <f t="shared" ref="E143:E146" si="69">E142</f>
        <v>C100138</v>
      </c>
      <c r="F143" s="1">
        <v>67598</v>
      </c>
      <c r="H143" s="11" t="str">
        <f>"""NAV Direct"",""CRONUS JetCorp USA"",""379"",""1"",""8500"""</f>
        <v>"NAV Direct","CRONUS JetCorp USA","379","1","8500"</v>
      </c>
      <c r="I143" s="54"/>
      <c r="J143" s="47" t="str">
        <f>"Payment"</f>
        <v>Payment</v>
      </c>
      <c r="K143" s="47" t="str">
        <f>"GRC103203"</f>
        <v>GRC103203</v>
      </c>
      <c r="L143" s="60"/>
      <c r="M143" s="60">
        <v>43599</v>
      </c>
      <c r="N143" s="63" t="str">
        <f>""</f>
        <v/>
      </c>
      <c r="O143" s="82">
        <v>0</v>
      </c>
      <c r="P143" s="83">
        <v>0</v>
      </c>
      <c r="Q143" s="84">
        <v>-19874.95</v>
      </c>
      <c r="R143" s="66">
        <v>0</v>
      </c>
    </row>
    <row r="144" spans="1:18" ht="9" customHeight="1" x14ac:dyDescent="0.3">
      <c r="A144" s="1" t="s">
        <v>41</v>
      </c>
      <c r="I144" s="54"/>
      <c r="J144" s="47"/>
      <c r="K144" s="47"/>
      <c r="L144" s="60"/>
      <c r="M144" s="60"/>
      <c r="N144" s="68"/>
      <c r="O144" s="67"/>
      <c r="P144" s="64"/>
      <c r="Q144" s="65"/>
      <c r="R144" s="62"/>
    </row>
    <row r="145" spans="1:18" x14ac:dyDescent="0.3">
      <c r="A145" s="1" t="s">
        <v>41</v>
      </c>
      <c r="I145" s="54"/>
      <c r="J145" s="47"/>
      <c r="K145" s="47"/>
      <c r="L145" s="60"/>
      <c r="M145" s="60"/>
      <c r="N145" s="68"/>
      <c r="O145" s="69"/>
      <c r="P145" s="70"/>
      <c r="Q145" s="71"/>
      <c r="R145" s="72"/>
    </row>
    <row r="146" spans="1:18" ht="17.25" x14ac:dyDescent="0.3">
      <c r="A146" s="1" t="s">
        <v>41</v>
      </c>
      <c r="I146" s="29"/>
      <c r="J146" s="30"/>
      <c r="K146" s="31"/>
      <c r="L146" s="32"/>
      <c r="M146" s="31"/>
      <c r="N146" s="31"/>
      <c r="O146" s="31"/>
      <c r="P146" s="31"/>
      <c r="Q146" s="42" t="str">
        <f t="shared" ref="Q146" si="70">CONCATENATE(I137," - ",I138,"      Remaining Amount  In Local Currency")</f>
        <v>C100138 - Dantons      Remaining Amount  In Local Currency</v>
      </c>
      <c r="R146" s="45">
        <f t="shared" ref="R146" si="71">SUBTOTAL(9,R142:R145)</f>
        <v>0</v>
      </c>
    </row>
    <row r="147" spans="1:18" x14ac:dyDescent="0.3">
      <c r="I147" s="6"/>
      <c r="J147" s="7"/>
      <c r="K147" s="6"/>
      <c r="L147" s="24"/>
      <c r="M147" s="13"/>
      <c r="N147" s="4"/>
      <c r="O147" s="4"/>
      <c r="P147" s="4"/>
      <c r="Q147" s="41"/>
      <c r="R147" s="41"/>
    </row>
  </sheetData>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heetViews>
  <sheetFormatPr defaultRowHeight="15" x14ac:dyDescent="0.25"/>
  <sheetData>
    <row r="1" spans="1:6" x14ac:dyDescent="0.25">
      <c r="A1" s="44" t="s">
        <v>272</v>
      </c>
      <c r="C1" s="44" t="s">
        <v>5</v>
      </c>
      <c r="D1" s="44" t="s">
        <v>6</v>
      </c>
      <c r="E1" s="44" t="s">
        <v>8</v>
      </c>
      <c r="F1" s="44" t="s">
        <v>54</v>
      </c>
    </row>
    <row r="4" spans="1:6" x14ac:dyDescent="0.25">
      <c r="C4" s="44" t="s">
        <v>4</v>
      </c>
    </row>
    <row r="5" spans="1:6" x14ac:dyDescent="0.25">
      <c r="A5" s="44" t="s">
        <v>12</v>
      </c>
      <c r="C5" s="44" t="s">
        <v>3</v>
      </c>
      <c r="D5" s="44" t="s">
        <v>271</v>
      </c>
      <c r="F5" s="44" t="s">
        <v>55</v>
      </c>
    </row>
    <row r="6" spans="1:6" x14ac:dyDescent="0.25">
      <c r="A6" s="44" t="s">
        <v>12</v>
      </c>
      <c r="C6" s="44" t="s">
        <v>46</v>
      </c>
      <c r="D6" s="44" t="s">
        <v>36</v>
      </c>
      <c r="E6" s="44" t="s">
        <v>56</v>
      </c>
    </row>
    <row r="7" spans="1:6" x14ac:dyDescent="0.25">
      <c r="A7" s="44" t="s">
        <v>12</v>
      </c>
      <c r="C7" s="44" t="s">
        <v>11</v>
      </c>
      <c r="D7" s="44" t="s">
        <v>36</v>
      </c>
      <c r="E7" s="44" t="s">
        <v>57</v>
      </c>
    </row>
    <row r="8" spans="1:6" x14ac:dyDescent="0.25">
      <c r="A8" s="44" t="s">
        <v>12</v>
      </c>
      <c r="C8" s="44" t="s">
        <v>32</v>
      </c>
      <c r="D8" s="44" t="s">
        <v>251</v>
      </c>
      <c r="E8" s="44"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heetViews>
  <sheetFormatPr defaultRowHeight="15" x14ac:dyDescent="0.25"/>
  <sheetData>
    <row r="1" spans="1:6" x14ac:dyDescent="0.25">
      <c r="A1" s="44" t="s">
        <v>272</v>
      </c>
      <c r="C1" s="44" t="s">
        <v>5</v>
      </c>
      <c r="D1" s="44" t="s">
        <v>6</v>
      </c>
      <c r="E1" s="44" t="s">
        <v>8</v>
      </c>
      <c r="F1" s="44" t="s">
        <v>54</v>
      </c>
    </row>
    <row r="4" spans="1:6" x14ac:dyDescent="0.25">
      <c r="C4" s="44" t="s">
        <v>4</v>
      </c>
    </row>
    <row r="5" spans="1:6" x14ac:dyDescent="0.25">
      <c r="A5" s="44" t="s">
        <v>12</v>
      </c>
      <c r="C5" s="44" t="s">
        <v>3</v>
      </c>
      <c r="D5" s="44" t="s">
        <v>271</v>
      </c>
      <c r="F5" s="44" t="s">
        <v>55</v>
      </c>
    </row>
    <row r="6" spans="1:6" x14ac:dyDescent="0.25">
      <c r="A6" s="44" t="s">
        <v>12</v>
      </c>
      <c r="C6" s="44" t="s">
        <v>46</v>
      </c>
      <c r="D6" s="44" t="s">
        <v>36</v>
      </c>
      <c r="E6" s="44" t="s">
        <v>56</v>
      </c>
    </row>
    <row r="7" spans="1:6" x14ac:dyDescent="0.25">
      <c r="A7" s="44" t="s">
        <v>12</v>
      </c>
      <c r="C7" s="44" t="s">
        <v>11</v>
      </c>
      <c r="D7" s="44" t="s">
        <v>36</v>
      </c>
      <c r="E7" s="44" t="s">
        <v>57</v>
      </c>
    </row>
    <row r="8" spans="1:6" x14ac:dyDescent="0.25">
      <c r="A8" s="44" t="s">
        <v>12</v>
      </c>
      <c r="C8" s="44" t="s">
        <v>32</v>
      </c>
      <c r="D8" s="44" t="s">
        <v>251</v>
      </c>
      <c r="E8" s="44" t="s">
        <v>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heetViews>
  <sheetFormatPr defaultRowHeight="15" x14ac:dyDescent="0.25"/>
  <sheetData>
    <row r="1" spans="1:18" x14ac:dyDescent="0.25">
      <c r="A1" s="44" t="s">
        <v>273</v>
      </c>
      <c r="B1" s="44" t="s">
        <v>250</v>
      </c>
      <c r="D1" s="44" t="s">
        <v>0</v>
      </c>
      <c r="E1" s="44" t="s">
        <v>0</v>
      </c>
      <c r="F1" s="44" t="s">
        <v>0</v>
      </c>
      <c r="G1" s="44" t="s">
        <v>25</v>
      </c>
      <c r="H1" s="44" t="s">
        <v>0</v>
      </c>
      <c r="J1" s="44" t="s">
        <v>1</v>
      </c>
      <c r="K1" s="44" t="s">
        <v>1</v>
      </c>
      <c r="L1" s="44" t="s">
        <v>1</v>
      </c>
      <c r="M1" s="44" t="s">
        <v>1</v>
      </c>
      <c r="N1" s="44" t="s">
        <v>1</v>
      </c>
      <c r="O1" s="44" t="s">
        <v>1</v>
      </c>
      <c r="P1" s="44" t="s">
        <v>1</v>
      </c>
    </row>
    <row r="2" spans="1:18" x14ac:dyDescent="0.25">
      <c r="A2" s="44" t="s">
        <v>0</v>
      </c>
      <c r="K2" s="44" t="s">
        <v>28</v>
      </c>
      <c r="L2" s="44" t="s">
        <v>28</v>
      </c>
      <c r="M2" s="44" t="s">
        <v>28</v>
      </c>
    </row>
    <row r="4" spans="1:18" x14ac:dyDescent="0.25">
      <c r="I4" s="44" t="s">
        <v>9</v>
      </c>
    </row>
    <row r="6" spans="1:18" x14ac:dyDescent="0.25">
      <c r="I6" s="44" t="s">
        <v>30</v>
      </c>
      <c r="J6" s="44" t="s">
        <v>37</v>
      </c>
      <c r="Q6" s="44" t="s">
        <v>10</v>
      </c>
      <c r="R6" s="44" t="s">
        <v>38</v>
      </c>
    </row>
    <row r="7" spans="1:18" x14ac:dyDescent="0.25">
      <c r="I7" s="44" t="s">
        <v>47</v>
      </c>
      <c r="J7" s="44" t="s">
        <v>39</v>
      </c>
    </row>
    <row r="8" spans="1:18" x14ac:dyDescent="0.25">
      <c r="I8" s="44" t="s">
        <v>31</v>
      </c>
      <c r="J8" s="44" t="s">
        <v>40</v>
      </c>
    </row>
    <row r="9" spans="1:18" x14ac:dyDescent="0.25">
      <c r="I9" s="44" t="s">
        <v>32</v>
      </c>
      <c r="J9" s="44" t="s">
        <v>48</v>
      </c>
    </row>
    <row r="11" spans="1:18" x14ac:dyDescent="0.25">
      <c r="H11" s="44" t="s">
        <v>106</v>
      </c>
      <c r="I11" s="44" t="s">
        <v>107</v>
      </c>
    </row>
    <row r="12" spans="1:18" x14ac:dyDescent="0.25">
      <c r="H12" s="44" t="s">
        <v>108</v>
      </c>
      <c r="I12" s="44" t="s">
        <v>109</v>
      </c>
    </row>
    <row r="13" spans="1:18" x14ac:dyDescent="0.25">
      <c r="H13" s="44" t="s">
        <v>110</v>
      </c>
      <c r="I13" s="44" t="s">
        <v>111</v>
      </c>
      <c r="N13" s="44" t="s">
        <v>42</v>
      </c>
      <c r="Q13" s="44" t="s">
        <v>43</v>
      </c>
    </row>
    <row r="14" spans="1:18" x14ac:dyDescent="0.25">
      <c r="P14" s="44" t="s">
        <v>34</v>
      </c>
      <c r="R14" s="44" t="s">
        <v>34</v>
      </c>
    </row>
    <row r="15" spans="1:18" x14ac:dyDescent="0.25">
      <c r="D15" s="44" t="s">
        <v>29</v>
      </c>
      <c r="E15" s="44" t="s">
        <v>27</v>
      </c>
      <c r="F15" s="44" t="s">
        <v>26</v>
      </c>
      <c r="G15" s="44" t="s">
        <v>26</v>
      </c>
      <c r="J15" s="44" t="s">
        <v>7</v>
      </c>
      <c r="K15" s="44" t="s">
        <v>23</v>
      </c>
      <c r="L15" s="44" t="s">
        <v>2</v>
      </c>
      <c r="M15" s="44" t="s">
        <v>3</v>
      </c>
      <c r="N15" s="44" t="s">
        <v>35</v>
      </c>
      <c r="O15" s="44" t="s">
        <v>33</v>
      </c>
      <c r="P15" s="44" t="s">
        <v>29</v>
      </c>
      <c r="Q15" s="44" t="s">
        <v>24</v>
      </c>
      <c r="R15" s="44" t="s">
        <v>24</v>
      </c>
    </row>
    <row r="16" spans="1:18" x14ac:dyDescent="0.25">
      <c r="D16" s="44" t="s">
        <v>112</v>
      </c>
      <c r="E16" s="44" t="s">
        <v>79</v>
      </c>
      <c r="G16" s="44" t="s">
        <v>113</v>
      </c>
      <c r="H16" s="44" t="s">
        <v>114</v>
      </c>
      <c r="J16" s="44" t="s">
        <v>115</v>
      </c>
      <c r="K16" s="44" t="s">
        <v>116</v>
      </c>
      <c r="L16" s="44" t="s">
        <v>117</v>
      </c>
      <c r="M16" s="44" t="s">
        <v>118</v>
      </c>
      <c r="N16" s="44" t="s">
        <v>119</v>
      </c>
      <c r="O16" s="44" t="s">
        <v>120</v>
      </c>
      <c r="P16" s="44" t="s">
        <v>121</v>
      </c>
      <c r="Q16" s="44" t="s">
        <v>122</v>
      </c>
      <c r="R16" s="44" t="s">
        <v>123</v>
      </c>
    </row>
    <row r="17" spans="2:18" x14ac:dyDescent="0.25">
      <c r="B17" s="44" t="s">
        <v>252</v>
      </c>
      <c r="D17" s="44" t="s">
        <v>124</v>
      </c>
      <c r="E17" s="44" t="s">
        <v>80</v>
      </c>
      <c r="F17" s="44" t="s">
        <v>125</v>
      </c>
      <c r="H17" s="44" t="s">
        <v>126</v>
      </c>
      <c r="J17" s="44" t="s">
        <v>127</v>
      </c>
      <c r="K17" s="44" t="s">
        <v>128</v>
      </c>
      <c r="M17" s="44" t="s">
        <v>129</v>
      </c>
      <c r="N17" s="44" t="s">
        <v>130</v>
      </c>
      <c r="O17" s="44" t="s">
        <v>131</v>
      </c>
      <c r="P17" s="44" t="s">
        <v>132</v>
      </c>
      <c r="Q17" s="44" t="s">
        <v>133</v>
      </c>
      <c r="R17" s="44" t="s">
        <v>134</v>
      </c>
    </row>
    <row r="20" spans="2:18" x14ac:dyDescent="0.25">
      <c r="Q20" s="44" t="s">
        <v>135</v>
      </c>
      <c r="R20" s="44"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heetViews>
  <sheetFormatPr defaultRowHeight="15" x14ac:dyDescent="0.25"/>
  <sheetData>
    <row r="1" spans="1:18" x14ac:dyDescent="0.25">
      <c r="A1" s="44" t="s">
        <v>273</v>
      </c>
      <c r="B1" s="44" t="s">
        <v>250</v>
      </c>
      <c r="D1" s="44" t="s">
        <v>0</v>
      </c>
      <c r="E1" s="44" t="s">
        <v>0</v>
      </c>
      <c r="F1" s="44" t="s">
        <v>0</v>
      </c>
      <c r="G1" s="44" t="s">
        <v>25</v>
      </c>
      <c r="H1" s="44" t="s">
        <v>0</v>
      </c>
      <c r="J1" s="44" t="s">
        <v>1</v>
      </c>
      <c r="K1" s="44" t="s">
        <v>1</v>
      </c>
      <c r="L1" s="44" t="s">
        <v>1</v>
      </c>
      <c r="M1" s="44" t="s">
        <v>1</v>
      </c>
      <c r="N1" s="44" t="s">
        <v>1</v>
      </c>
      <c r="O1" s="44" t="s">
        <v>1</v>
      </c>
      <c r="P1" s="44" t="s">
        <v>1</v>
      </c>
    </row>
    <row r="2" spans="1:18" x14ac:dyDescent="0.25">
      <c r="A2" s="44" t="s">
        <v>0</v>
      </c>
      <c r="K2" s="44" t="s">
        <v>28</v>
      </c>
      <c r="L2" s="44" t="s">
        <v>28</v>
      </c>
      <c r="M2" s="44" t="s">
        <v>28</v>
      </c>
    </row>
    <row r="4" spans="1:18" x14ac:dyDescent="0.25">
      <c r="I4" s="44" t="s">
        <v>9</v>
      </c>
    </row>
    <row r="6" spans="1:18" x14ac:dyDescent="0.25">
      <c r="I6" s="44" t="s">
        <v>30</v>
      </c>
      <c r="J6" s="44" t="s">
        <v>37</v>
      </c>
      <c r="Q6" s="44" t="s">
        <v>10</v>
      </c>
      <c r="R6" s="44" t="s">
        <v>38</v>
      </c>
    </row>
    <row r="7" spans="1:18" x14ac:dyDescent="0.25">
      <c r="I7" s="44" t="s">
        <v>47</v>
      </c>
      <c r="J7" s="44" t="s">
        <v>39</v>
      </c>
    </row>
    <row r="8" spans="1:18" x14ac:dyDescent="0.25">
      <c r="I8" s="44" t="s">
        <v>31</v>
      </c>
      <c r="J8" s="44" t="s">
        <v>40</v>
      </c>
    </row>
    <row r="9" spans="1:18" x14ac:dyDescent="0.25">
      <c r="I9" s="44" t="s">
        <v>32</v>
      </c>
      <c r="J9" s="44" t="s">
        <v>48</v>
      </c>
    </row>
    <row r="11" spans="1:18" x14ac:dyDescent="0.25">
      <c r="H11" s="44" t="s">
        <v>106</v>
      </c>
      <c r="I11" s="44" t="s">
        <v>107</v>
      </c>
    </row>
    <row r="12" spans="1:18" x14ac:dyDescent="0.25">
      <c r="H12" s="44" t="s">
        <v>108</v>
      </c>
      <c r="I12" s="44" t="s">
        <v>109</v>
      </c>
    </row>
    <row r="13" spans="1:18" x14ac:dyDescent="0.25">
      <c r="H13" s="44" t="s">
        <v>110</v>
      </c>
      <c r="I13" s="44" t="s">
        <v>111</v>
      </c>
      <c r="N13" s="44" t="s">
        <v>42</v>
      </c>
      <c r="Q13" s="44" t="s">
        <v>43</v>
      </c>
    </row>
    <row r="14" spans="1:18" x14ac:dyDescent="0.25">
      <c r="P14" s="44" t="s">
        <v>34</v>
      </c>
      <c r="R14" s="44" t="s">
        <v>34</v>
      </c>
    </row>
    <row r="15" spans="1:18" x14ac:dyDescent="0.25">
      <c r="D15" s="44" t="s">
        <v>29</v>
      </c>
      <c r="E15" s="44" t="s">
        <v>27</v>
      </c>
      <c r="F15" s="44" t="s">
        <v>26</v>
      </c>
      <c r="G15" s="44" t="s">
        <v>26</v>
      </c>
      <c r="J15" s="44" t="s">
        <v>7</v>
      </c>
      <c r="K15" s="44" t="s">
        <v>23</v>
      </c>
      <c r="L15" s="44" t="s">
        <v>2</v>
      </c>
      <c r="M15" s="44" t="s">
        <v>3</v>
      </c>
      <c r="N15" s="44" t="s">
        <v>35</v>
      </c>
      <c r="O15" s="44" t="s">
        <v>33</v>
      </c>
      <c r="P15" s="44" t="s">
        <v>29</v>
      </c>
      <c r="Q15" s="44" t="s">
        <v>24</v>
      </c>
      <c r="R15" s="44" t="s">
        <v>24</v>
      </c>
    </row>
    <row r="16" spans="1:18" x14ac:dyDescent="0.25">
      <c r="D16" s="44" t="s">
        <v>112</v>
      </c>
      <c r="E16" s="44" t="s">
        <v>79</v>
      </c>
      <c r="G16" s="44" t="s">
        <v>113</v>
      </c>
      <c r="H16" s="44" t="s">
        <v>114</v>
      </c>
      <c r="J16" s="44" t="s">
        <v>115</v>
      </c>
      <c r="K16" s="44" t="s">
        <v>116</v>
      </c>
      <c r="L16" s="44" t="s">
        <v>117</v>
      </c>
      <c r="M16" s="44" t="s">
        <v>118</v>
      </c>
      <c r="N16" s="44" t="s">
        <v>119</v>
      </c>
      <c r="O16" s="44" t="s">
        <v>120</v>
      </c>
      <c r="P16" s="44" t="s">
        <v>121</v>
      </c>
      <c r="Q16" s="44" t="s">
        <v>122</v>
      </c>
      <c r="R16" s="44" t="s">
        <v>123</v>
      </c>
    </row>
    <row r="17" spans="2:18" x14ac:dyDescent="0.25">
      <c r="B17" s="44" t="s">
        <v>252</v>
      </c>
      <c r="D17" s="44" t="s">
        <v>124</v>
      </c>
      <c r="E17" s="44" t="s">
        <v>80</v>
      </c>
      <c r="F17" s="44" t="s">
        <v>125</v>
      </c>
      <c r="H17" s="44" t="s">
        <v>126</v>
      </c>
      <c r="J17" s="44" t="s">
        <v>127</v>
      </c>
      <c r="K17" s="44" t="s">
        <v>128</v>
      </c>
      <c r="M17" s="44" t="s">
        <v>129</v>
      </c>
      <c r="N17" s="44" t="s">
        <v>130</v>
      </c>
      <c r="O17" s="44" t="s">
        <v>131</v>
      </c>
      <c r="P17" s="44" t="s">
        <v>132</v>
      </c>
      <c r="Q17" s="44" t="s">
        <v>133</v>
      </c>
      <c r="R17" s="44" t="s">
        <v>134</v>
      </c>
    </row>
    <row r="20" spans="2:18" x14ac:dyDescent="0.25">
      <c r="Q20" s="44" t="s">
        <v>135</v>
      </c>
      <c r="R20" s="44" t="s">
        <v>136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heetViews>
  <sheetFormatPr defaultRowHeight="15" x14ac:dyDescent="0.25"/>
  <sheetData>
    <row r="1" spans="1:6" x14ac:dyDescent="0.25">
      <c r="A1" s="44" t="s">
        <v>275</v>
      </c>
      <c r="C1" s="44" t="s">
        <v>5</v>
      </c>
      <c r="D1" s="44" t="s">
        <v>6</v>
      </c>
      <c r="E1" s="44" t="s">
        <v>8</v>
      </c>
      <c r="F1" s="44" t="s">
        <v>54</v>
      </c>
    </row>
    <row r="4" spans="1:6" x14ac:dyDescent="0.25">
      <c r="C4" s="44" t="s">
        <v>4</v>
      </c>
    </row>
    <row r="5" spans="1:6" x14ac:dyDescent="0.25">
      <c r="A5" s="44" t="s">
        <v>12</v>
      </c>
      <c r="C5" s="44" t="s">
        <v>3</v>
      </c>
      <c r="D5" s="44" t="s">
        <v>271</v>
      </c>
      <c r="F5" s="44" t="s">
        <v>55</v>
      </c>
    </row>
    <row r="6" spans="1:6" x14ac:dyDescent="0.25">
      <c r="A6" s="44" t="s">
        <v>12</v>
      </c>
      <c r="C6" s="44" t="s">
        <v>46</v>
      </c>
      <c r="D6" s="44" t="s">
        <v>36</v>
      </c>
      <c r="E6" s="44" t="s">
        <v>56</v>
      </c>
    </row>
    <row r="7" spans="1:6" x14ac:dyDescent="0.25">
      <c r="A7" s="44" t="s">
        <v>12</v>
      </c>
      <c r="C7" s="44" t="s">
        <v>11</v>
      </c>
      <c r="D7" s="44" t="s">
        <v>36</v>
      </c>
      <c r="E7" s="44" t="s">
        <v>57</v>
      </c>
    </row>
    <row r="8" spans="1:6" x14ac:dyDescent="0.25">
      <c r="A8" s="44" t="s">
        <v>12</v>
      </c>
      <c r="C8" s="44" t="s">
        <v>32</v>
      </c>
      <c r="D8" s="44" t="s">
        <v>251</v>
      </c>
      <c r="E8" s="44"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workbookViewId="0"/>
  </sheetViews>
  <sheetFormatPr defaultRowHeight="15" x14ac:dyDescent="0.25"/>
  <sheetData>
    <row r="1" spans="1:18" x14ac:dyDescent="0.25">
      <c r="A1" s="44" t="s">
        <v>572</v>
      </c>
      <c r="B1" s="44" t="s">
        <v>250</v>
      </c>
      <c r="D1" s="44" t="s">
        <v>0</v>
      </c>
      <c r="E1" s="44" t="s">
        <v>0</v>
      </c>
      <c r="F1" s="44" t="s">
        <v>0</v>
      </c>
      <c r="G1" s="44" t="s">
        <v>25</v>
      </c>
      <c r="H1" s="44" t="s">
        <v>0</v>
      </c>
      <c r="J1" s="44" t="s">
        <v>1</v>
      </c>
      <c r="K1" s="44" t="s">
        <v>1</v>
      </c>
      <c r="L1" s="44" t="s">
        <v>1</v>
      </c>
      <c r="M1" s="44" t="s">
        <v>1</v>
      </c>
      <c r="N1" s="44" t="s">
        <v>1</v>
      </c>
      <c r="O1" s="44" t="s">
        <v>1</v>
      </c>
      <c r="P1" s="44" t="s">
        <v>1</v>
      </c>
    </row>
    <row r="2" spans="1:18" x14ac:dyDescent="0.25">
      <c r="A2" s="44" t="s">
        <v>0</v>
      </c>
      <c r="K2" s="44" t="s">
        <v>28</v>
      </c>
      <c r="L2" s="44" t="s">
        <v>28</v>
      </c>
      <c r="M2" s="44" t="s">
        <v>28</v>
      </c>
    </row>
    <row r="4" spans="1:18" x14ac:dyDescent="0.25">
      <c r="I4" s="44" t="s">
        <v>9</v>
      </c>
    </row>
    <row r="6" spans="1:18" x14ac:dyDescent="0.25">
      <c r="I6" s="44" t="s">
        <v>30</v>
      </c>
      <c r="J6" s="44" t="s">
        <v>37</v>
      </c>
      <c r="Q6" s="44" t="s">
        <v>10</v>
      </c>
      <c r="R6" s="44" t="s">
        <v>38</v>
      </c>
    </row>
    <row r="7" spans="1:18" x14ac:dyDescent="0.25">
      <c r="I7" s="44" t="s">
        <v>47</v>
      </c>
      <c r="J7" s="44" t="s">
        <v>39</v>
      </c>
    </row>
    <row r="8" spans="1:18" x14ac:dyDescent="0.25">
      <c r="I8" s="44" t="s">
        <v>31</v>
      </c>
      <c r="J8" s="44" t="s">
        <v>40</v>
      </c>
    </row>
    <row r="9" spans="1:18" x14ac:dyDescent="0.25">
      <c r="I9" s="44" t="s">
        <v>32</v>
      </c>
      <c r="J9" s="44" t="s">
        <v>48</v>
      </c>
    </row>
    <row r="11" spans="1:18" x14ac:dyDescent="0.25">
      <c r="H11" s="44" t="s">
        <v>106</v>
      </c>
      <c r="I11" s="44" t="s">
        <v>107</v>
      </c>
    </row>
    <row r="12" spans="1:18" x14ac:dyDescent="0.25">
      <c r="H12" s="44" t="s">
        <v>108</v>
      </c>
      <c r="I12" s="44" t="s">
        <v>109</v>
      </c>
    </row>
    <row r="13" spans="1:18" x14ac:dyDescent="0.25">
      <c r="H13" s="44" t="s">
        <v>110</v>
      </c>
      <c r="I13" s="44" t="s">
        <v>111</v>
      </c>
      <c r="N13" s="44" t="s">
        <v>42</v>
      </c>
      <c r="Q13" s="44" t="s">
        <v>43</v>
      </c>
    </row>
    <row r="14" spans="1:18" x14ac:dyDescent="0.25">
      <c r="P14" s="44" t="s">
        <v>34</v>
      </c>
      <c r="R14" s="44" t="s">
        <v>34</v>
      </c>
    </row>
    <row r="15" spans="1:18" x14ac:dyDescent="0.25">
      <c r="D15" s="44" t="s">
        <v>29</v>
      </c>
      <c r="E15" s="44" t="s">
        <v>27</v>
      </c>
      <c r="F15" s="44" t="s">
        <v>26</v>
      </c>
      <c r="G15" s="44" t="s">
        <v>26</v>
      </c>
      <c r="J15" s="44" t="s">
        <v>7</v>
      </c>
      <c r="K15" s="44" t="s">
        <v>23</v>
      </c>
      <c r="L15" s="44" t="s">
        <v>2</v>
      </c>
      <c r="M15" s="44" t="s">
        <v>3</v>
      </c>
      <c r="N15" s="44" t="s">
        <v>35</v>
      </c>
      <c r="O15" s="44" t="s">
        <v>33</v>
      </c>
      <c r="P15" s="44" t="s">
        <v>29</v>
      </c>
      <c r="Q15" s="44" t="s">
        <v>24</v>
      </c>
      <c r="R15" s="44" t="s">
        <v>24</v>
      </c>
    </row>
    <row r="16" spans="1:18" x14ac:dyDescent="0.25">
      <c r="D16" s="44" t="s">
        <v>112</v>
      </c>
      <c r="E16" s="44" t="s">
        <v>79</v>
      </c>
      <c r="G16" s="44" t="s">
        <v>113</v>
      </c>
      <c r="H16" s="44" t="s">
        <v>114</v>
      </c>
      <c r="J16" s="44" t="s">
        <v>115</v>
      </c>
      <c r="K16" s="44" t="s">
        <v>116</v>
      </c>
      <c r="L16" s="44" t="s">
        <v>117</v>
      </c>
      <c r="M16" s="44" t="s">
        <v>118</v>
      </c>
      <c r="N16" s="44" t="s">
        <v>119</v>
      </c>
      <c r="O16" s="44" t="s">
        <v>120</v>
      </c>
      <c r="P16" s="44" t="s">
        <v>121</v>
      </c>
      <c r="Q16" s="44" t="s">
        <v>122</v>
      </c>
      <c r="R16" s="44" t="s">
        <v>123</v>
      </c>
    </row>
    <row r="17" spans="1:18" x14ac:dyDescent="0.25">
      <c r="B17" s="44" t="s">
        <v>252</v>
      </c>
      <c r="D17" s="44" t="s">
        <v>124</v>
      </c>
      <c r="E17" s="44" t="s">
        <v>80</v>
      </c>
      <c r="F17" s="44" t="s">
        <v>125</v>
      </c>
      <c r="H17" s="44" t="s">
        <v>126</v>
      </c>
      <c r="J17" s="44" t="s">
        <v>127</v>
      </c>
      <c r="K17" s="44" t="s">
        <v>128</v>
      </c>
      <c r="M17" s="44" t="s">
        <v>129</v>
      </c>
      <c r="N17" s="44" t="s">
        <v>130</v>
      </c>
      <c r="O17" s="44" t="s">
        <v>131</v>
      </c>
      <c r="P17" s="44" t="s">
        <v>132</v>
      </c>
      <c r="Q17" s="44" t="s">
        <v>133</v>
      </c>
      <c r="R17" s="44" t="s">
        <v>134</v>
      </c>
    </row>
    <row r="20" spans="1:18" x14ac:dyDescent="0.25">
      <c r="Q20" s="44" t="s">
        <v>135</v>
      </c>
      <c r="R20" s="44" t="s">
        <v>136</v>
      </c>
    </row>
    <row r="21" spans="1:18" x14ac:dyDescent="0.25">
      <c r="A21" s="44" t="s">
        <v>41</v>
      </c>
      <c r="H21" s="44" t="s">
        <v>253</v>
      </c>
      <c r="I21" s="44" t="s">
        <v>137</v>
      </c>
    </row>
    <row r="22" spans="1:18" x14ac:dyDescent="0.25">
      <c r="A22" s="44" t="s">
        <v>41</v>
      </c>
      <c r="H22" s="44" t="s">
        <v>138</v>
      </c>
      <c r="I22" s="44" t="s">
        <v>139</v>
      </c>
    </row>
    <row r="23" spans="1:18" x14ac:dyDescent="0.25">
      <c r="A23" s="44" t="s">
        <v>41</v>
      </c>
      <c r="H23" s="44" t="s">
        <v>140</v>
      </c>
      <c r="I23" s="44" t="s">
        <v>141</v>
      </c>
      <c r="N23" s="44" t="s">
        <v>42</v>
      </c>
      <c r="Q23" s="44" t="s">
        <v>43</v>
      </c>
    </row>
    <row r="24" spans="1:18" x14ac:dyDescent="0.25">
      <c r="A24" s="44" t="s">
        <v>41</v>
      </c>
      <c r="P24" s="44" t="s">
        <v>34</v>
      </c>
      <c r="R24" s="44" t="s">
        <v>34</v>
      </c>
    </row>
    <row r="25" spans="1:18" x14ac:dyDescent="0.25">
      <c r="A25" s="44" t="s">
        <v>41</v>
      </c>
      <c r="D25" s="44" t="s">
        <v>29</v>
      </c>
      <c r="E25" s="44" t="s">
        <v>27</v>
      </c>
      <c r="F25" s="44" t="s">
        <v>26</v>
      </c>
      <c r="G25" s="44" t="s">
        <v>26</v>
      </c>
      <c r="J25" s="44" t="s">
        <v>7</v>
      </c>
      <c r="K25" s="44" t="s">
        <v>23</v>
      </c>
      <c r="L25" s="44" t="s">
        <v>2</v>
      </c>
      <c r="M25" s="44" t="s">
        <v>3</v>
      </c>
      <c r="N25" s="44" t="s">
        <v>35</v>
      </c>
      <c r="O25" s="44" t="s">
        <v>33</v>
      </c>
      <c r="P25" s="44" t="s">
        <v>29</v>
      </c>
      <c r="Q25" s="44" t="s">
        <v>24</v>
      </c>
      <c r="R25" s="44" t="s">
        <v>24</v>
      </c>
    </row>
    <row r="26" spans="1:18" x14ac:dyDescent="0.25">
      <c r="A26" s="44" t="s">
        <v>41</v>
      </c>
      <c r="D26" s="44" t="s">
        <v>142</v>
      </c>
      <c r="E26" s="44" t="s">
        <v>49</v>
      </c>
      <c r="G26" s="44" t="s">
        <v>143</v>
      </c>
      <c r="H26" s="44" t="s">
        <v>144</v>
      </c>
      <c r="J26" s="44" t="s">
        <v>145</v>
      </c>
      <c r="K26" s="44" t="s">
        <v>146</v>
      </c>
      <c r="L26" s="44" t="s">
        <v>147</v>
      </c>
      <c r="M26" s="44" t="s">
        <v>148</v>
      </c>
      <c r="N26" s="44" t="s">
        <v>149</v>
      </c>
      <c r="O26" s="44" t="s">
        <v>150</v>
      </c>
      <c r="P26" s="44" t="s">
        <v>151</v>
      </c>
      <c r="Q26" s="44" t="s">
        <v>152</v>
      </c>
      <c r="R26" s="44" t="s">
        <v>153</v>
      </c>
    </row>
    <row r="27" spans="1:18" x14ac:dyDescent="0.25">
      <c r="A27" s="44" t="s">
        <v>41</v>
      </c>
      <c r="B27" s="44" t="s">
        <v>254</v>
      </c>
      <c r="D27" s="44" t="s">
        <v>154</v>
      </c>
      <c r="E27" s="44" t="s">
        <v>81</v>
      </c>
      <c r="F27" s="44" t="s">
        <v>155</v>
      </c>
      <c r="H27" s="44" t="s">
        <v>156</v>
      </c>
      <c r="J27" s="44" t="s">
        <v>157</v>
      </c>
      <c r="K27" s="44" t="s">
        <v>158</v>
      </c>
      <c r="M27" s="44" t="s">
        <v>159</v>
      </c>
      <c r="N27" s="44" t="s">
        <v>160</v>
      </c>
      <c r="O27" s="44" t="s">
        <v>161</v>
      </c>
      <c r="P27" s="44" t="s">
        <v>162</v>
      </c>
      <c r="Q27" s="44" t="s">
        <v>163</v>
      </c>
      <c r="R27" s="44" t="s">
        <v>164</v>
      </c>
    </row>
    <row r="28" spans="1:18" x14ac:dyDescent="0.25">
      <c r="A28" s="44" t="s">
        <v>41</v>
      </c>
    </row>
    <row r="29" spans="1:18" x14ac:dyDescent="0.25">
      <c r="A29" s="44" t="s">
        <v>41</v>
      </c>
    </row>
    <row r="30" spans="1:18" x14ac:dyDescent="0.25">
      <c r="A30" s="44" t="s">
        <v>41</v>
      </c>
      <c r="Q30" s="44" t="s">
        <v>165</v>
      </c>
      <c r="R30" s="44" t="s">
        <v>277</v>
      </c>
    </row>
    <row r="31" spans="1:18" x14ac:dyDescent="0.25">
      <c r="A31" s="44" t="s">
        <v>41</v>
      </c>
      <c r="H31" s="44" t="s">
        <v>101</v>
      </c>
      <c r="I31" s="44" t="s">
        <v>278</v>
      </c>
    </row>
    <row r="32" spans="1:18" x14ac:dyDescent="0.25">
      <c r="A32" s="44" t="s">
        <v>41</v>
      </c>
      <c r="H32" s="44" t="s">
        <v>279</v>
      </c>
      <c r="I32" s="44" t="s">
        <v>280</v>
      </c>
    </row>
    <row r="33" spans="1:18" x14ac:dyDescent="0.25">
      <c r="A33" s="44" t="s">
        <v>41</v>
      </c>
      <c r="H33" s="44" t="s">
        <v>255</v>
      </c>
      <c r="I33" s="44" t="s">
        <v>281</v>
      </c>
      <c r="N33" s="44" t="s">
        <v>42</v>
      </c>
      <c r="Q33" s="44" t="s">
        <v>43</v>
      </c>
    </row>
    <row r="34" spans="1:18" x14ac:dyDescent="0.25">
      <c r="A34" s="44" t="s">
        <v>41</v>
      </c>
      <c r="P34" s="44" t="s">
        <v>34</v>
      </c>
      <c r="R34" s="44" t="s">
        <v>34</v>
      </c>
    </row>
    <row r="35" spans="1:18" x14ac:dyDescent="0.25">
      <c r="A35" s="44" t="s">
        <v>41</v>
      </c>
      <c r="D35" s="44" t="s">
        <v>29</v>
      </c>
      <c r="E35" s="44" t="s">
        <v>27</v>
      </c>
      <c r="F35" s="44" t="s">
        <v>26</v>
      </c>
      <c r="G35" s="44" t="s">
        <v>26</v>
      </c>
      <c r="J35" s="44" t="s">
        <v>7</v>
      </c>
      <c r="K35" s="44" t="s">
        <v>23</v>
      </c>
      <c r="L35" s="44" t="s">
        <v>2</v>
      </c>
      <c r="M35" s="44" t="s">
        <v>3</v>
      </c>
      <c r="N35" s="44" t="s">
        <v>35</v>
      </c>
      <c r="O35" s="44" t="s">
        <v>33</v>
      </c>
      <c r="P35" s="44" t="s">
        <v>29</v>
      </c>
      <c r="Q35" s="44" t="s">
        <v>24</v>
      </c>
      <c r="R35" s="44" t="s">
        <v>24</v>
      </c>
    </row>
    <row r="36" spans="1:18" x14ac:dyDescent="0.25">
      <c r="A36" s="44" t="s">
        <v>41</v>
      </c>
      <c r="D36" s="44" t="s">
        <v>282</v>
      </c>
      <c r="E36" s="44" t="s">
        <v>82</v>
      </c>
      <c r="G36" s="44" t="s">
        <v>283</v>
      </c>
      <c r="H36" s="44" t="s">
        <v>284</v>
      </c>
      <c r="J36" s="44" t="s">
        <v>285</v>
      </c>
      <c r="K36" s="44" t="s">
        <v>286</v>
      </c>
      <c r="L36" s="44" t="s">
        <v>287</v>
      </c>
      <c r="M36" s="44" t="s">
        <v>288</v>
      </c>
      <c r="N36" s="44" t="s">
        <v>289</v>
      </c>
      <c r="O36" s="44" t="s">
        <v>290</v>
      </c>
      <c r="P36" s="44" t="s">
        <v>291</v>
      </c>
      <c r="Q36" s="44" t="s">
        <v>292</v>
      </c>
      <c r="R36" s="44" t="s">
        <v>293</v>
      </c>
    </row>
    <row r="37" spans="1:18" x14ac:dyDescent="0.25">
      <c r="A37" s="44" t="s">
        <v>41</v>
      </c>
      <c r="B37" s="44" t="s">
        <v>294</v>
      </c>
      <c r="D37" s="44" t="s">
        <v>295</v>
      </c>
      <c r="E37" s="44" t="s">
        <v>83</v>
      </c>
      <c r="F37" s="44" t="s">
        <v>296</v>
      </c>
      <c r="H37" s="44" t="s">
        <v>297</v>
      </c>
      <c r="J37" s="44" t="s">
        <v>298</v>
      </c>
      <c r="K37" s="44" t="s">
        <v>299</v>
      </c>
      <c r="M37" s="44" t="s">
        <v>300</v>
      </c>
      <c r="N37" s="44" t="s">
        <v>301</v>
      </c>
      <c r="O37" s="44" t="s">
        <v>302</v>
      </c>
      <c r="P37" s="44" t="s">
        <v>303</v>
      </c>
      <c r="Q37" s="44" t="s">
        <v>304</v>
      </c>
      <c r="R37" s="44" t="s">
        <v>305</v>
      </c>
    </row>
    <row r="38" spans="1:18" x14ac:dyDescent="0.25">
      <c r="A38" s="44" t="s">
        <v>41</v>
      </c>
    </row>
    <row r="39" spans="1:18" x14ac:dyDescent="0.25">
      <c r="A39" s="44" t="s">
        <v>41</v>
      </c>
    </row>
    <row r="40" spans="1:18" x14ac:dyDescent="0.25">
      <c r="A40" s="44" t="s">
        <v>41</v>
      </c>
      <c r="Q40" s="44" t="s">
        <v>306</v>
      </c>
      <c r="R40" s="44" t="s">
        <v>307</v>
      </c>
    </row>
    <row r="41" spans="1:18" x14ac:dyDescent="0.25">
      <c r="A41" s="44" t="s">
        <v>41</v>
      </c>
      <c r="H41" s="44" t="s">
        <v>102</v>
      </c>
      <c r="I41" s="44" t="s">
        <v>308</v>
      </c>
    </row>
    <row r="42" spans="1:18" x14ac:dyDescent="0.25">
      <c r="A42" s="44" t="s">
        <v>41</v>
      </c>
      <c r="H42" s="44" t="s">
        <v>309</v>
      </c>
      <c r="I42" s="44" t="s">
        <v>310</v>
      </c>
    </row>
    <row r="43" spans="1:18" x14ac:dyDescent="0.25">
      <c r="A43" s="44" t="s">
        <v>41</v>
      </c>
      <c r="H43" s="44" t="s">
        <v>256</v>
      </c>
      <c r="I43" s="44" t="s">
        <v>311</v>
      </c>
      <c r="N43" s="44" t="s">
        <v>42</v>
      </c>
      <c r="Q43" s="44" t="s">
        <v>43</v>
      </c>
    </row>
    <row r="44" spans="1:18" x14ac:dyDescent="0.25">
      <c r="A44" s="44" t="s">
        <v>41</v>
      </c>
      <c r="P44" s="44" t="s">
        <v>34</v>
      </c>
      <c r="R44" s="44" t="s">
        <v>34</v>
      </c>
    </row>
    <row r="45" spans="1:18" x14ac:dyDescent="0.25">
      <c r="A45" s="44" t="s">
        <v>41</v>
      </c>
      <c r="D45" s="44" t="s">
        <v>29</v>
      </c>
      <c r="E45" s="44" t="s">
        <v>27</v>
      </c>
      <c r="F45" s="44" t="s">
        <v>26</v>
      </c>
      <c r="G45" s="44" t="s">
        <v>26</v>
      </c>
      <c r="J45" s="44" t="s">
        <v>7</v>
      </c>
      <c r="K45" s="44" t="s">
        <v>23</v>
      </c>
      <c r="L45" s="44" t="s">
        <v>2</v>
      </c>
      <c r="M45" s="44" t="s">
        <v>3</v>
      </c>
      <c r="N45" s="44" t="s">
        <v>35</v>
      </c>
      <c r="O45" s="44" t="s">
        <v>33</v>
      </c>
      <c r="P45" s="44" t="s">
        <v>29</v>
      </c>
      <c r="Q45" s="44" t="s">
        <v>24</v>
      </c>
      <c r="R45" s="44" t="s">
        <v>24</v>
      </c>
    </row>
    <row r="46" spans="1:18" x14ac:dyDescent="0.25">
      <c r="A46" s="44" t="s">
        <v>41</v>
      </c>
      <c r="D46" s="44" t="s">
        <v>312</v>
      </c>
      <c r="E46" s="44" t="s">
        <v>84</v>
      </c>
      <c r="G46" s="44" t="s">
        <v>313</v>
      </c>
      <c r="H46" s="44" t="s">
        <v>314</v>
      </c>
      <c r="J46" s="44" t="s">
        <v>315</v>
      </c>
      <c r="K46" s="44" t="s">
        <v>316</v>
      </c>
      <c r="L46" s="44" t="s">
        <v>317</v>
      </c>
      <c r="M46" s="44" t="s">
        <v>318</v>
      </c>
      <c r="N46" s="44" t="s">
        <v>319</v>
      </c>
      <c r="O46" s="44" t="s">
        <v>320</v>
      </c>
      <c r="P46" s="44" t="s">
        <v>321</v>
      </c>
      <c r="Q46" s="44" t="s">
        <v>322</v>
      </c>
      <c r="R46" s="44" t="s">
        <v>323</v>
      </c>
    </row>
    <row r="47" spans="1:18" x14ac:dyDescent="0.25">
      <c r="A47" s="44" t="s">
        <v>41</v>
      </c>
      <c r="B47" s="44" t="s">
        <v>324</v>
      </c>
      <c r="D47" s="44" t="s">
        <v>325</v>
      </c>
      <c r="E47" s="44" t="s">
        <v>51</v>
      </c>
      <c r="F47" s="44" t="s">
        <v>326</v>
      </c>
      <c r="H47" s="44" t="s">
        <v>327</v>
      </c>
      <c r="J47" s="44" t="s">
        <v>328</v>
      </c>
      <c r="K47" s="44" t="s">
        <v>329</v>
      </c>
      <c r="M47" s="44" t="s">
        <v>330</v>
      </c>
      <c r="N47" s="44" t="s">
        <v>331</v>
      </c>
      <c r="O47" s="44" t="s">
        <v>332</v>
      </c>
      <c r="P47" s="44" t="s">
        <v>333</v>
      </c>
      <c r="Q47" s="44" t="s">
        <v>334</v>
      </c>
      <c r="R47" s="44" t="s">
        <v>335</v>
      </c>
    </row>
    <row r="48" spans="1:18" x14ac:dyDescent="0.25">
      <c r="A48" s="44" t="s">
        <v>41</v>
      </c>
    </row>
    <row r="49" spans="1:18" x14ac:dyDescent="0.25">
      <c r="A49" s="44" t="s">
        <v>41</v>
      </c>
    </row>
    <row r="50" spans="1:18" x14ac:dyDescent="0.25">
      <c r="A50" s="44" t="s">
        <v>41</v>
      </c>
      <c r="Q50" s="44" t="s">
        <v>336</v>
      </c>
      <c r="R50" s="44" t="s">
        <v>337</v>
      </c>
    </row>
    <row r="51" spans="1:18" x14ac:dyDescent="0.25">
      <c r="A51" s="44" t="s">
        <v>41</v>
      </c>
      <c r="H51" s="44" t="s">
        <v>103</v>
      </c>
      <c r="I51" s="44" t="s">
        <v>338</v>
      </c>
    </row>
    <row r="52" spans="1:18" x14ac:dyDescent="0.25">
      <c r="A52" s="44" t="s">
        <v>41</v>
      </c>
      <c r="H52" s="44" t="s">
        <v>339</v>
      </c>
      <c r="I52" s="44" t="s">
        <v>340</v>
      </c>
    </row>
    <row r="53" spans="1:18" x14ac:dyDescent="0.25">
      <c r="A53" s="44" t="s">
        <v>41</v>
      </c>
      <c r="H53" s="44" t="s">
        <v>257</v>
      </c>
      <c r="I53" s="44" t="s">
        <v>341</v>
      </c>
      <c r="N53" s="44" t="s">
        <v>42</v>
      </c>
      <c r="Q53" s="44" t="s">
        <v>43</v>
      </c>
    </row>
    <row r="54" spans="1:18" x14ac:dyDescent="0.25">
      <c r="A54" s="44" t="s">
        <v>41</v>
      </c>
      <c r="P54" s="44" t="s">
        <v>34</v>
      </c>
      <c r="R54" s="44" t="s">
        <v>34</v>
      </c>
    </row>
    <row r="55" spans="1:18" x14ac:dyDescent="0.25">
      <c r="A55" s="44" t="s">
        <v>41</v>
      </c>
      <c r="D55" s="44" t="s">
        <v>29</v>
      </c>
      <c r="E55" s="44" t="s">
        <v>27</v>
      </c>
      <c r="F55" s="44" t="s">
        <v>26</v>
      </c>
      <c r="G55" s="44" t="s">
        <v>26</v>
      </c>
      <c r="J55" s="44" t="s">
        <v>7</v>
      </c>
      <c r="K55" s="44" t="s">
        <v>23</v>
      </c>
      <c r="L55" s="44" t="s">
        <v>2</v>
      </c>
      <c r="M55" s="44" t="s">
        <v>3</v>
      </c>
      <c r="N55" s="44" t="s">
        <v>35</v>
      </c>
      <c r="O55" s="44" t="s">
        <v>33</v>
      </c>
      <c r="P55" s="44" t="s">
        <v>29</v>
      </c>
      <c r="Q55" s="44" t="s">
        <v>24</v>
      </c>
      <c r="R55" s="44" t="s">
        <v>24</v>
      </c>
    </row>
    <row r="56" spans="1:18" x14ac:dyDescent="0.25">
      <c r="A56" s="44" t="s">
        <v>41</v>
      </c>
      <c r="D56" s="44" t="s">
        <v>342</v>
      </c>
      <c r="E56" s="44" t="s">
        <v>85</v>
      </c>
      <c r="G56" s="44" t="s">
        <v>343</v>
      </c>
      <c r="H56" s="44" t="s">
        <v>344</v>
      </c>
      <c r="J56" s="44" t="s">
        <v>345</v>
      </c>
      <c r="K56" s="44" t="s">
        <v>346</v>
      </c>
      <c r="L56" s="44" t="s">
        <v>347</v>
      </c>
      <c r="M56" s="44" t="s">
        <v>348</v>
      </c>
      <c r="N56" s="44" t="s">
        <v>349</v>
      </c>
      <c r="O56" s="44" t="s">
        <v>350</v>
      </c>
      <c r="P56" s="44" t="s">
        <v>351</v>
      </c>
      <c r="Q56" s="44" t="s">
        <v>352</v>
      </c>
      <c r="R56" s="44" t="s">
        <v>353</v>
      </c>
    </row>
    <row r="57" spans="1:18" x14ac:dyDescent="0.25">
      <c r="A57" s="44" t="s">
        <v>41</v>
      </c>
      <c r="B57" s="44" t="s">
        <v>354</v>
      </c>
      <c r="D57" s="44" t="s">
        <v>355</v>
      </c>
      <c r="E57" s="44" t="s">
        <v>86</v>
      </c>
      <c r="F57" s="44" t="s">
        <v>356</v>
      </c>
      <c r="H57" s="44" t="s">
        <v>357</v>
      </c>
      <c r="J57" s="44" t="s">
        <v>358</v>
      </c>
      <c r="K57" s="44" t="s">
        <v>359</v>
      </c>
      <c r="M57" s="44" t="s">
        <v>360</v>
      </c>
      <c r="N57" s="44" t="s">
        <v>361</v>
      </c>
      <c r="O57" s="44" t="s">
        <v>362</v>
      </c>
      <c r="P57" s="44" t="s">
        <v>363</v>
      </c>
      <c r="Q57" s="44" t="s">
        <v>364</v>
      </c>
      <c r="R57" s="44" t="s">
        <v>365</v>
      </c>
    </row>
    <row r="58" spans="1:18" x14ac:dyDescent="0.25">
      <c r="A58" s="44" t="s">
        <v>41</v>
      </c>
    </row>
    <row r="59" spans="1:18" x14ac:dyDescent="0.25">
      <c r="A59" s="44" t="s">
        <v>41</v>
      </c>
    </row>
    <row r="60" spans="1:18" x14ac:dyDescent="0.25">
      <c r="A60" s="44" t="s">
        <v>41</v>
      </c>
      <c r="Q60" s="44" t="s">
        <v>366</v>
      </c>
      <c r="R60" s="44" t="s">
        <v>367</v>
      </c>
    </row>
    <row r="61" spans="1:18" x14ac:dyDescent="0.25">
      <c r="A61" s="44" t="s">
        <v>41</v>
      </c>
      <c r="H61" s="44" t="s">
        <v>265</v>
      </c>
      <c r="I61" s="44" t="s">
        <v>368</v>
      </c>
    </row>
    <row r="62" spans="1:18" x14ac:dyDescent="0.25">
      <c r="A62" s="44" t="s">
        <v>41</v>
      </c>
      <c r="H62" s="44" t="s">
        <v>369</v>
      </c>
      <c r="I62" s="44" t="s">
        <v>370</v>
      </c>
    </row>
    <row r="63" spans="1:18" x14ac:dyDescent="0.25">
      <c r="A63" s="44" t="s">
        <v>41</v>
      </c>
      <c r="H63" s="44" t="s">
        <v>258</v>
      </c>
      <c r="I63" s="44" t="s">
        <v>371</v>
      </c>
      <c r="N63" s="44" t="s">
        <v>42</v>
      </c>
      <c r="Q63" s="44" t="s">
        <v>43</v>
      </c>
    </row>
    <row r="64" spans="1:18" x14ac:dyDescent="0.25">
      <c r="A64" s="44" t="s">
        <v>41</v>
      </c>
      <c r="P64" s="44" t="s">
        <v>34</v>
      </c>
      <c r="R64" s="44" t="s">
        <v>34</v>
      </c>
    </row>
    <row r="65" spans="1:18" x14ac:dyDescent="0.25">
      <c r="A65" s="44" t="s">
        <v>41</v>
      </c>
      <c r="D65" s="44" t="s">
        <v>29</v>
      </c>
      <c r="E65" s="44" t="s">
        <v>27</v>
      </c>
      <c r="F65" s="44" t="s">
        <v>26</v>
      </c>
      <c r="G65" s="44" t="s">
        <v>26</v>
      </c>
      <c r="J65" s="44" t="s">
        <v>7</v>
      </c>
      <c r="K65" s="44" t="s">
        <v>23</v>
      </c>
      <c r="L65" s="44" t="s">
        <v>2</v>
      </c>
      <c r="M65" s="44" t="s">
        <v>3</v>
      </c>
      <c r="N65" s="44" t="s">
        <v>35</v>
      </c>
      <c r="O65" s="44" t="s">
        <v>33</v>
      </c>
      <c r="P65" s="44" t="s">
        <v>29</v>
      </c>
      <c r="Q65" s="44" t="s">
        <v>24</v>
      </c>
      <c r="R65" s="44" t="s">
        <v>24</v>
      </c>
    </row>
    <row r="66" spans="1:18" x14ac:dyDescent="0.25">
      <c r="A66" s="44" t="s">
        <v>41</v>
      </c>
      <c r="D66" s="44" t="s">
        <v>372</v>
      </c>
      <c r="E66" s="44" t="s">
        <v>45</v>
      </c>
      <c r="G66" s="44" t="s">
        <v>373</v>
      </c>
      <c r="H66" s="44" t="s">
        <v>374</v>
      </c>
      <c r="J66" s="44" t="s">
        <v>375</v>
      </c>
      <c r="K66" s="44" t="s">
        <v>376</v>
      </c>
      <c r="L66" s="44" t="s">
        <v>377</v>
      </c>
      <c r="M66" s="44" t="s">
        <v>378</v>
      </c>
      <c r="N66" s="44" t="s">
        <v>379</v>
      </c>
      <c r="O66" s="44" t="s">
        <v>380</v>
      </c>
      <c r="P66" s="44" t="s">
        <v>381</v>
      </c>
      <c r="Q66" s="44" t="s">
        <v>382</v>
      </c>
      <c r="R66" s="44" t="s">
        <v>383</v>
      </c>
    </row>
    <row r="67" spans="1:18" x14ac:dyDescent="0.25">
      <c r="A67" s="44" t="s">
        <v>41</v>
      </c>
      <c r="B67" s="44" t="s">
        <v>384</v>
      </c>
      <c r="D67" s="44" t="s">
        <v>385</v>
      </c>
      <c r="E67" s="44" t="s">
        <v>87</v>
      </c>
      <c r="F67" s="44" t="s">
        <v>386</v>
      </c>
      <c r="H67" s="44" t="s">
        <v>387</v>
      </c>
      <c r="J67" s="44" t="s">
        <v>388</v>
      </c>
      <c r="K67" s="44" t="s">
        <v>389</v>
      </c>
      <c r="M67" s="44" t="s">
        <v>390</v>
      </c>
      <c r="N67" s="44" t="s">
        <v>391</v>
      </c>
      <c r="O67" s="44" t="s">
        <v>392</v>
      </c>
      <c r="P67" s="44" t="s">
        <v>393</v>
      </c>
      <c r="Q67" s="44" t="s">
        <v>394</v>
      </c>
      <c r="R67" s="44" t="s">
        <v>395</v>
      </c>
    </row>
    <row r="68" spans="1:18" x14ac:dyDescent="0.25">
      <c r="A68" s="44" t="s">
        <v>41</v>
      </c>
    </row>
    <row r="69" spans="1:18" x14ac:dyDescent="0.25">
      <c r="A69" s="44" t="s">
        <v>41</v>
      </c>
    </row>
    <row r="70" spans="1:18" x14ac:dyDescent="0.25">
      <c r="A70" s="44" t="s">
        <v>41</v>
      </c>
      <c r="Q70" s="44" t="s">
        <v>396</v>
      </c>
      <c r="R70" s="44" t="s">
        <v>397</v>
      </c>
    </row>
    <row r="71" spans="1:18" x14ac:dyDescent="0.25">
      <c r="A71" s="44" t="s">
        <v>41</v>
      </c>
      <c r="H71" s="44" t="s">
        <v>104</v>
      </c>
      <c r="I71" s="44" t="s">
        <v>398</v>
      </c>
    </row>
    <row r="72" spans="1:18" x14ac:dyDescent="0.25">
      <c r="A72" s="44" t="s">
        <v>41</v>
      </c>
      <c r="H72" s="44" t="s">
        <v>399</v>
      </c>
      <c r="I72" s="44" t="s">
        <v>400</v>
      </c>
    </row>
    <row r="73" spans="1:18" x14ac:dyDescent="0.25">
      <c r="A73" s="44" t="s">
        <v>41</v>
      </c>
      <c r="H73" s="44" t="s">
        <v>401</v>
      </c>
      <c r="I73" s="44" t="s">
        <v>402</v>
      </c>
      <c r="N73" s="44" t="s">
        <v>42</v>
      </c>
      <c r="Q73" s="44" t="s">
        <v>43</v>
      </c>
    </row>
    <row r="74" spans="1:18" x14ac:dyDescent="0.25">
      <c r="A74" s="44" t="s">
        <v>41</v>
      </c>
      <c r="P74" s="44" t="s">
        <v>34</v>
      </c>
      <c r="R74" s="44" t="s">
        <v>34</v>
      </c>
    </row>
    <row r="75" spans="1:18" x14ac:dyDescent="0.25">
      <c r="A75" s="44" t="s">
        <v>41</v>
      </c>
      <c r="D75" s="44" t="s">
        <v>29</v>
      </c>
      <c r="E75" s="44" t="s">
        <v>27</v>
      </c>
      <c r="F75" s="44" t="s">
        <v>26</v>
      </c>
      <c r="G75" s="44" t="s">
        <v>26</v>
      </c>
      <c r="J75" s="44" t="s">
        <v>7</v>
      </c>
      <c r="K75" s="44" t="s">
        <v>23</v>
      </c>
      <c r="L75" s="44" t="s">
        <v>2</v>
      </c>
      <c r="M75" s="44" t="s">
        <v>3</v>
      </c>
      <c r="N75" s="44" t="s">
        <v>35</v>
      </c>
      <c r="O75" s="44" t="s">
        <v>33</v>
      </c>
      <c r="P75" s="44" t="s">
        <v>29</v>
      </c>
      <c r="Q75" s="44" t="s">
        <v>24</v>
      </c>
      <c r="R75" s="44" t="s">
        <v>24</v>
      </c>
    </row>
    <row r="76" spans="1:18" x14ac:dyDescent="0.25">
      <c r="A76" s="44" t="s">
        <v>41</v>
      </c>
      <c r="D76" s="44" t="s">
        <v>403</v>
      </c>
      <c r="E76" s="44" t="s">
        <v>52</v>
      </c>
      <c r="G76" s="44" t="s">
        <v>404</v>
      </c>
      <c r="H76" s="44" t="s">
        <v>405</v>
      </c>
      <c r="J76" s="44" t="s">
        <v>406</v>
      </c>
      <c r="K76" s="44" t="s">
        <v>407</v>
      </c>
      <c r="L76" s="44" t="s">
        <v>408</v>
      </c>
      <c r="M76" s="44" t="s">
        <v>409</v>
      </c>
      <c r="N76" s="44" t="s">
        <v>410</v>
      </c>
      <c r="O76" s="44" t="s">
        <v>411</v>
      </c>
      <c r="P76" s="44" t="s">
        <v>412</v>
      </c>
      <c r="Q76" s="44" t="s">
        <v>413</v>
      </c>
      <c r="R76" s="44" t="s">
        <v>414</v>
      </c>
    </row>
    <row r="77" spans="1:18" x14ac:dyDescent="0.25">
      <c r="A77" s="44" t="s">
        <v>41</v>
      </c>
      <c r="B77" s="44" t="s">
        <v>415</v>
      </c>
      <c r="D77" s="44" t="s">
        <v>416</v>
      </c>
      <c r="E77" s="44" t="s">
        <v>88</v>
      </c>
      <c r="F77" s="44" t="s">
        <v>417</v>
      </c>
      <c r="H77" s="44" t="s">
        <v>418</v>
      </c>
      <c r="J77" s="44" t="s">
        <v>419</v>
      </c>
      <c r="K77" s="44" t="s">
        <v>420</v>
      </c>
      <c r="M77" s="44" t="s">
        <v>421</v>
      </c>
      <c r="N77" s="44" t="s">
        <v>422</v>
      </c>
      <c r="O77" s="44" t="s">
        <v>423</v>
      </c>
      <c r="P77" s="44" t="s">
        <v>424</v>
      </c>
      <c r="Q77" s="44" t="s">
        <v>425</v>
      </c>
      <c r="R77" s="44" t="s">
        <v>426</v>
      </c>
    </row>
    <row r="78" spans="1:18" x14ac:dyDescent="0.25">
      <c r="A78" s="44" t="s">
        <v>41</v>
      </c>
    </row>
    <row r="79" spans="1:18" x14ac:dyDescent="0.25">
      <c r="A79" s="44" t="s">
        <v>41</v>
      </c>
    </row>
    <row r="80" spans="1:18" x14ac:dyDescent="0.25">
      <c r="A80" s="44" t="s">
        <v>41</v>
      </c>
      <c r="Q80" s="44" t="s">
        <v>427</v>
      </c>
      <c r="R80" s="44" t="s">
        <v>428</v>
      </c>
    </row>
    <row r="81" spans="1:18" x14ac:dyDescent="0.25">
      <c r="A81" s="44" t="s">
        <v>41</v>
      </c>
      <c r="H81" s="44" t="s">
        <v>76</v>
      </c>
      <c r="I81" s="44" t="s">
        <v>429</v>
      </c>
    </row>
    <row r="82" spans="1:18" x14ac:dyDescent="0.25">
      <c r="A82" s="44" t="s">
        <v>41</v>
      </c>
      <c r="H82" s="44" t="s">
        <v>430</v>
      </c>
      <c r="I82" s="44" t="s">
        <v>431</v>
      </c>
    </row>
    <row r="83" spans="1:18" x14ac:dyDescent="0.25">
      <c r="A83" s="44" t="s">
        <v>41</v>
      </c>
      <c r="H83" s="44" t="s">
        <v>432</v>
      </c>
      <c r="I83" s="44" t="s">
        <v>433</v>
      </c>
      <c r="N83" s="44" t="s">
        <v>42</v>
      </c>
      <c r="Q83" s="44" t="s">
        <v>43</v>
      </c>
    </row>
    <row r="84" spans="1:18" x14ac:dyDescent="0.25">
      <c r="A84" s="44" t="s">
        <v>41</v>
      </c>
      <c r="P84" s="44" t="s">
        <v>34</v>
      </c>
      <c r="R84" s="44" t="s">
        <v>34</v>
      </c>
    </row>
    <row r="85" spans="1:18" x14ac:dyDescent="0.25">
      <c r="A85" s="44" t="s">
        <v>41</v>
      </c>
      <c r="D85" s="44" t="s">
        <v>29</v>
      </c>
      <c r="E85" s="44" t="s">
        <v>27</v>
      </c>
      <c r="F85" s="44" t="s">
        <v>26</v>
      </c>
      <c r="G85" s="44" t="s">
        <v>26</v>
      </c>
      <c r="J85" s="44" t="s">
        <v>7</v>
      </c>
      <c r="K85" s="44" t="s">
        <v>23</v>
      </c>
      <c r="L85" s="44" t="s">
        <v>2</v>
      </c>
      <c r="M85" s="44" t="s">
        <v>3</v>
      </c>
      <c r="N85" s="44" t="s">
        <v>35</v>
      </c>
      <c r="O85" s="44" t="s">
        <v>33</v>
      </c>
      <c r="P85" s="44" t="s">
        <v>29</v>
      </c>
      <c r="Q85" s="44" t="s">
        <v>24</v>
      </c>
      <c r="R85" s="44" t="s">
        <v>24</v>
      </c>
    </row>
    <row r="86" spans="1:18" x14ac:dyDescent="0.25">
      <c r="A86" s="44" t="s">
        <v>41</v>
      </c>
      <c r="D86" s="44" t="s">
        <v>434</v>
      </c>
      <c r="E86" s="44" t="s">
        <v>89</v>
      </c>
      <c r="G86" s="44" t="s">
        <v>435</v>
      </c>
      <c r="H86" s="44" t="s">
        <v>436</v>
      </c>
      <c r="J86" s="44" t="s">
        <v>437</v>
      </c>
      <c r="K86" s="44" t="s">
        <v>438</v>
      </c>
      <c r="L86" s="44" t="s">
        <v>439</v>
      </c>
      <c r="M86" s="44" t="s">
        <v>440</v>
      </c>
      <c r="N86" s="44" t="s">
        <v>441</v>
      </c>
      <c r="O86" s="44" t="s">
        <v>442</v>
      </c>
      <c r="P86" s="44" t="s">
        <v>443</v>
      </c>
      <c r="Q86" s="44" t="s">
        <v>444</v>
      </c>
      <c r="R86" s="44" t="s">
        <v>445</v>
      </c>
    </row>
    <row r="87" spans="1:18" x14ac:dyDescent="0.25">
      <c r="A87" s="44" t="s">
        <v>41</v>
      </c>
      <c r="B87" s="44" t="s">
        <v>446</v>
      </c>
      <c r="D87" s="44" t="s">
        <v>447</v>
      </c>
      <c r="E87" s="44" t="s">
        <v>50</v>
      </c>
      <c r="F87" s="44" t="s">
        <v>448</v>
      </c>
      <c r="H87" s="44" t="s">
        <v>449</v>
      </c>
      <c r="J87" s="44" t="s">
        <v>450</v>
      </c>
      <c r="K87" s="44" t="s">
        <v>451</v>
      </c>
      <c r="M87" s="44" t="s">
        <v>452</v>
      </c>
      <c r="N87" s="44" t="s">
        <v>453</v>
      </c>
      <c r="O87" s="44" t="s">
        <v>454</v>
      </c>
      <c r="P87" s="44" t="s">
        <v>455</v>
      </c>
      <c r="Q87" s="44" t="s">
        <v>456</v>
      </c>
      <c r="R87" s="44" t="s">
        <v>457</v>
      </c>
    </row>
    <row r="88" spans="1:18" x14ac:dyDescent="0.25">
      <c r="A88" s="44" t="s">
        <v>41</v>
      </c>
    </row>
    <row r="89" spans="1:18" x14ac:dyDescent="0.25">
      <c r="A89" s="44" t="s">
        <v>41</v>
      </c>
    </row>
    <row r="90" spans="1:18" x14ac:dyDescent="0.25">
      <c r="A90" s="44" t="s">
        <v>41</v>
      </c>
      <c r="Q90" s="44" t="s">
        <v>458</v>
      </c>
      <c r="R90" s="44" t="s">
        <v>459</v>
      </c>
    </row>
    <row r="91" spans="1:18" x14ac:dyDescent="0.25">
      <c r="A91" s="44" t="s">
        <v>41</v>
      </c>
      <c r="H91" s="44" t="s">
        <v>266</v>
      </c>
      <c r="I91" s="44" t="s">
        <v>460</v>
      </c>
    </row>
    <row r="92" spans="1:18" x14ac:dyDescent="0.25">
      <c r="A92" s="44" t="s">
        <v>41</v>
      </c>
      <c r="H92" s="44" t="s">
        <v>259</v>
      </c>
      <c r="I92" s="44" t="s">
        <v>461</v>
      </c>
    </row>
    <row r="93" spans="1:18" x14ac:dyDescent="0.25">
      <c r="A93" s="44" t="s">
        <v>41</v>
      </c>
      <c r="H93" s="44" t="s">
        <v>462</v>
      </c>
      <c r="I93" s="44" t="s">
        <v>463</v>
      </c>
      <c r="N93" s="44" t="s">
        <v>42</v>
      </c>
      <c r="Q93" s="44" t="s">
        <v>43</v>
      </c>
    </row>
    <row r="94" spans="1:18" x14ac:dyDescent="0.25">
      <c r="A94" s="44" t="s">
        <v>41</v>
      </c>
      <c r="P94" s="44" t="s">
        <v>34</v>
      </c>
      <c r="R94" s="44" t="s">
        <v>34</v>
      </c>
    </row>
    <row r="95" spans="1:18" x14ac:dyDescent="0.25">
      <c r="A95" s="44" t="s">
        <v>41</v>
      </c>
      <c r="D95" s="44" t="s">
        <v>29</v>
      </c>
      <c r="E95" s="44" t="s">
        <v>27</v>
      </c>
      <c r="F95" s="44" t="s">
        <v>26</v>
      </c>
      <c r="G95" s="44" t="s">
        <v>26</v>
      </c>
      <c r="J95" s="44" t="s">
        <v>7</v>
      </c>
      <c r="K95" s="44" t="s">
        <v>23</v>
      </c>
      <c r="L95" s="44" t="s">
        <v>2</v>
      </c>
      <c r="M95" s="44" t="s">
        <v>3</v>
      </c>
      <c r="N95" s="44" t="s">
        <v>35</v>
      </c>
      <c r="O95" s="44" t="s">
        <v>33</v>
      </c>
      <c r="P95" s="44" t="s">
        <v>29</v>
      </c>
      <c r="Q95" s="44" t="s">
        <v>24</v>
      </c>
      <c r="R95" s="44" t="s">
        <v>24</v>
      </c>
    </row>
    <row r="96" spans="1:18" x14ac:dyDescent="0.25">
      <c r="A96" s="44" t="s">
        <v>41</v>
      </c>
      <c r="D96" s="44" t="s">
        <v>260</v>
      </c>
      <c r="E96" s="44" t="s">
        <v>90</v>
      </c>
      <c r="G96" s="44" t="s">
        <v>464</v>
      </c>
      <c r="H96" s="44" t="s">
        <v>465</v>
      </c>
      <c r="J96" s="44" t="s">
        <v>466</v>
      </c>
      <c r="K96" s="44" t="s">
        <v>467</v>
      </c>
      <c r="L96" s="44" t="s">
        <v>468</v>
      </c>
      <c r="M96" s="44" t="s">
        <v>469</v>
      </c>
      <c r="N96" s="44" t="s">
        <v>470</v>
      </c>
      <c r="O96" s="44" t="s">
        <v>471</v>
      </c>
      <c r="P96" s="44" t="s">
        <v>472</v>
      </c>
      <c r="Q96" s="44" t="s">
        <v>473</v>
      </c>
      <c r="R96" s="44" t="s">
        <v>474</v>
      </c>
    </row>
    <row r="97" spans="1:18" x14ac:dyDescent="0.25">
      <c r="A97" s="44" t="s">
        <v>41</v>
      </c>
      <c r="B97" s="44" t="s">
        <v>475</v>
      </c>
      <c r="D97" s="44" t="s">
        <v>476</v>
      </c>
      <c r="E97" s="44" t="s">
        <v>91</v>
      </c>
      <c r="F97" s="44" t="s">
        <v>477</v>
      </c>
      <c r="H97" s="44" t="s">
        <v>478</v>
      </c>
      <c r="J97" s="44" t="s">
        <v>479</v>
      </c>
      <c r="K97" s="44" t="s">
        <v>480</v>
      </c>
      <c r="M97" s="44" t="s">
        <v>481</v>
      </c>
      <c r="N97" s="44" t="s">
        <v>482</v>
      </c>
      <c r="O97" s="44" t="s">
        <v>483</v>
      </c>
      <c r="P97" s="44" t="s">
        <v>484</v>
      </c>
      <c r="Q97" s="44" t="s">
        <v>485</v>
      </c>
      <c r="R97" s="44" t="s">
        <v>486</v>
      </c>
    </row>
    <row r="98" spans="1:18" x14ac:dyDescent="0.25">
      <c r="A98" s="44" t="s">
        <v>41</v>
      </c>
    </row>
    <row r="99" spans="1:18" x14ac:dyDescent="0.25">
      <c r="A99" s="44" t="s">
        <v>41</v>
      </c>
    </row>
    <row r="100" spans="1:18" x14ac:dyDescent="0.25">
      <c r="A100" s="44" t="s">
        <v>41</v>
      </c>
      <c r="Q100" s="44" t="s">
        <v>487</v>
      </c>
      <c r="R100" s="44" t="s">
        <v>488</v>
      </c>
    </row>
    <row r="101" spans="1:18" x14ac:dyDescent="0.25">
      <c r="A101" s="44" t="s">
        <v>41</v>
      </c>
      <c r="H101" s="44" t="s">
        <v>267</v>
      </c>
      <c r="I101" s="44" t="s">
        <v>489</v>
      </c>
    </row>
    <row r="102" spans="1:18" x14ac:dyDescent="0.25">
      <c r="A102" s="44" t="s">
        <v>41</v>
      </c>
      <c r="H102" s="44" t="s">
        <v>261</v>
      </c>
      <c r="I102" s="44" t="s">
        <v>490</v>
      </c>
    </row>
    <row r="103" spans="1:18" x14ac:dyDescent="0.25">
      <c r="A103" s="44" t="s">
        <v>41</v>
      </c>
      <c r="H103" s="44" t="s">
        <v>166</v>
      </c>
      <c r="I103" s="44" t="s">
        <v>491</v>
      </c>
      <c r="N103" s="44" t="s">
        <v>42</v>
      </c>
      <c r="Q103" s="44" t="s">
        <v>43</v>
      </c>
    </row>
    <row r="104" spans="1:18" x14ac:dyDescent="0.25">
      <c r="A104" s="44" t="s">
        <v>41</v>
      </c>
      <c r="P104" s="44" t="s">
        <v>34</v>
      </c>
      <c r="R104" s="44" t="s">
        <v>34</v>
      </c>
    </row>
    <row r="105" spans="1:18" x14ac:dyDescent="0.25">
      <c r="A105" s="44" t="s">
        <v>41</v>
      </c>
      <c r="D105" s="44" t="s">
        <v>29</v>
      </c>
      <c r="E105" s="44" t="s">
        <v>27</v>
      </c>
      <c r="F105" s="44" t="s">
        <v>26</v>
      </c>
      <c r="G105" s="44" t="s">
        <v>26</v>
      </c>
      <c r="J105" s="44" t="s">
        <v>7</v>
      </c>
      <c r="K105" s="44" t="s">
        <v>23</v>
      </c>
      <c r="L105" s="44" t="s">
        <v>2</v>
      </c>
      <c r="M105" s="44" t="s">
        <v>3</v>
      </c>
      <c r="N105" s="44" t="s">
        <v>35</v>
      </c>
      <c r="O105" s="44" t="s">
        <v>33</v>
      </c>
      <c r="P105" s="44" t="s">
        <v>29</v>
      </c>
      <c r="Q105" s="44" t="s">
        <v>24</v>
      </c>
      <c r="R105" s="44" t="s">
        <v>24</v>
      </c>
    </row>
    <row r="106" spans="1:18" x14ac:dyDescent="0.25">
      <c r="A106" s="44" t="s">
        <v>41</v>
      </c>
      <c r="D106" s="44" t="s">
        <v>262</v>
      </c>
      <c r="E106" s="44" t="s">
        <v>44</v>
      </c>
      <c r="G106" s="44" t="s">
        <v>492</v>
      </c>
      <c r="H106" s="44" t="s">
        <v>493</v>
      </c>
      <c r="J106" s="44" t="s">
        <v>494</v>
      </c>
      <c r="K106" s="44" t="s">
        <v>495</v>
      </c>
      <c r="L106" s="44" t="s">
        <v>496</v>
      </c>
      <c r="M106" s="44" t="s">
        <v>497</v>
      </c>
      <c r="N106" s="44" t="s">
        <v>498</v>
      </c>
      <c r="O106" s="44" t="s">
        <v>499</v>
      </c>
      <c r="P106" s="44" t="s">
        <v>500</v>
      </c>
      <c r="Q106" s="44" t="s">
        <v>501</v>
      </c>
      <c r="R106" s="44" t="s">
        <v>502</v>
      </c>
    </row>
    <row r="107" spans="1:18" x14ac:dyDescent="0.25">
      <c r="A107" s="44" t="s">
        <v>41</v>
      </c>
      <c r="B107" s="44" t="s">
        <v>503</v>
      </c>
      <c r="D107" s="44" t="s">
        <v>504</v>
      </c>
      <c r="E107" s="44" t="s">
        <v>92</v>
      </c>
      <c r="F107" s="44" t="s">
        <v>505</v>
      </c>
      <c r="H107" s="44" t="s">
        <v>506</v>
      </c>
      <c r="J107" s="44" t="s">
        <v>507</v>
      </c>
      <c r="K107" s="44" t="s">
        <v>508</v>
      </c>
      <c r="M107" s="44" t="s">
        <v>509</v>
      </c>
      <c r="N107" s="44" t="s">
        <v>510</v>
      </c>
      <c r="O107" s="44" t="s">
        <v>511</v>
      </c>
      <c r="P107" s="44" t="s">
        <v>512</v>
      </c>
      <c r="Q107" s="44" t="s">
        <v>513</v>
      </c>
      <c r="R107" s="44" t="s">
        <v>514</v>
      </c>
    </row>
    <row r="108" spans="1:18" x14ac:dyDescent="0.25">
      <c r="A108" s="44" t="s">
        <v>41</v>
      </c>
    </row>
    <row r="109" spans="1:18" x14ac:dyDescent="0.25">
      <c r="A109" s="44" t="s">
        <v>41</v>
      </c>
    </row>
    <row r="110" spans="1:18" x14ac:dyDescent="0.25">
      <c r="A110" s="44" t="s">
        <v>41</v>
      </c>
      <c r="Q110" s="44" t="s">
        <v>515</v>
      </c>
      <c r="R110" s="44" t="s">
        <v>516</v>
      </c>
    </row>
    <row r="111" spans="1:18" x14ac:dyDescent="0.25">
      <c r="A111" s="44" t="s">
        <v>41</v>
      </c>
      <c r="H111" s="44" t="s">
        <v>105</v>
      </c>
      <c r="I111" s="44" t="s">
        <v>517</v>
      </c>
    </row>
    <row r="112" spans="1:18" x14ac:dyDescent="0.25">
      <c r="A112" s="44" t="s">
        <v>41</v>
      </c>
      <c r="H112" s="44" t="s">
        <v>263</v>
      </c>
      <c r="I112" s="44" t="s">
        <v>518</v>
      </c>
    </row>
    <row r="113" spans="1:18" x14ac:dyDescent="0.25">
      <c r="A113" s="44" t="s">
        <v>41</v>
      </c>
      <c r="H113" s="44" t="s">
        <v>167</v>
      </c>
      <c r="I113" s="44" t="s">
        <v>519</v>
      </c>
      <c r="N113" s="44" t="s">
        <v>42</v>
      </c>
      <c r="Q113" s="44" t="s">
        <v>43</v>
      </c>
    </row>
    <row r="114" spans="1:18" x14ac:dyDescent="0.25">
      <c r="A114" s="44" t="s">
        <v>41</v>
      </c>
      <c r="P114" s="44" t="s">
        <v>34</v>
      </c>
      <c r="R114" s="44" t="s">
        <v>34</v>
      </c>
    </row>
    <row r="115" spans="1:18" x14ac:dyDescent="0.25">
      <c r="A115" s="44" t="s">
        <v>41</v>
      </c>
      <c r="D115" s="44" t="s">
        <v>29</v>
      </c>
      <c r="E115" s="44" t="s">
        <v>27</v>
      </c>
      <c r="F115" s="44" t="s">
        <v>26</v>
      </c>
      <c r="G115" s="44" t="s">
        <v>26</v>
      </c>
      <c r="J115" s="44" t="s">
        <v>7</v>
      </c>
      <c r="K115" s="44" t="s">
        <v>23</v>
      </c>
      <c r="L115" s="44" t="s">
        <v>2</v>
      </c>
      <c r="M115" s="44" t="s">
        <v>3</v>
      </c>
      <c r="N115" s="44" t="s">
        <v>35</v>
      </c>
      <c r="O115" s="44" t="s">
        <v>33</v>
      </c>
      <c r="P115" s="44" t="s">
        <v>29</v>
      </c>
      <c r="Q115" s="44" t="s">
        <v>24</v>
      </c>
      <c r="R115" s="44" t="s">
        <v>24</v>
      </c>
    </row>
    <row r="116" spans="1:18" x14ac:dyDescent="0.25">
      <c r="A116" s="44" t="s">
        <v>41</v>
      </c>
      <c r="D116" s="44" t="s">
        <v>264</v>
      </c>
      <c r="E116" s="44" t="s">
        <v>93</v>
      </c>
      <c r="G116" s="44" t="s">
        <v>520</v>
      </c>
      <c r="H116" s="44" t="s">
        <v>521</v>
      </c>
      <c r="J116" s="44" t="s">
        <v>522</v>
      </c>
      <c r="K116" s="44" t="s">
        <v>523</v>
      </c>
      <c r="L116" s="44" t="s">
        <v>524</v>
      </c>
      <c r="M116" s="44" t="s">
        <v>525</v>
      </c>
      <c r="N116" s="44" t="s">
        <v>526</v>
      </c>
      <c r="O116" s="44" t="s">
        <v>527</v>
      </c>
      <c r="P116" s="44" t="s">
        <v>528</v>
      </c>
      <c r="Q116" s="44" t="s">
        <v>529</v>
      </c>
      <c r="R116" s="44" t="s">
        <v>530</v>
      </c>
    </row>
    <row r="117" spans="1:18" x14ac:dyDescent="0.25">
      <c r="A117" s="44" t="s">
        <v>41</v>
      </c>
      <c r="B117" s="44" t="s">
        <v>531</v>
      </c>
      <c r="D117" s="44" t="s">
        <v>532</v>
      </c>
      <c r="E117" s="44" t="s">
        <v>94</v>
      </c>
      <c r="F117" s="44" t="s">
        <v>533</v>
      </c>
      <c r="H117" s="44" t="s">
        <v>534</v>
      </c>
      <c r="J117" s="44" t="s">
        <v>535</v>
      </c>
      <c r="K117" s="44" t="s">
        <v>536</v>
      </c>
      <c r="M117" s="44" t="s">
        <v>537</v>
      </c>
      <c r="N117" s="44" t="s">
        <v>538</v>
      </c>
      <c r="O117" s="44" t="s">
        <v>539</v>
      </c>
      <c r="P117" s="44" t="s">
        <v>540</v>
      </c>
      <c r="Q117" s="44" t="s">
        <v>541</v>
      </c>
      <c r="R117" s="44" t="s">
        <v>542</v>
      </c>
    </row>
    <row r="118" spans="1:18" x14ac:dyDescent="0.25">
      <c r="A118" s="44" t="s">
        <v>41</v>
      </c>
    </row>
    <row r="119" spans="1:18" x14ac:dyDescent="0.25">
      <c r="A119" s="44" t="s">
        <v>41</v>
      </c>
      <c r="D119" s="44" t="s">
        <v>543</v>
      </c>
      <c r="E119" s="44" t="s">
        <v>78</v>
      </c>
      <c r="G119" s="44" t="s">
        <v>544</v>
      </c>
      <c r="H119" s="44" t="s">
        <v>268</v>
      </c>
      <c r="J119" s="44" t="s">
        <v>545</v>
      </c>
      <c r="K119" s="44" t="s">
        <v>546</v>
      </c>
      <c r="L119" s="44" t="s">
        <v>547</v>
      </c>
      <c r="M119" s="44" t="s">
        <v>548</v>
      </c>
      <c r="N119" s="44" t="s">
        <v>549</v>
      </c>
      <c r="O119" s="44" t="s">
        <v>550</v>
      </c>
      <c r="P119" s="44" t="s">
        <v>551</v>
      </c>
      <c r="Q119" s="44" t="s">
        <v>552</v>
      </c>
      <c r="R119" s="44" t="s">
        <v>553</v>
      </c>
    </row>
    <row r="120" spans="1:18" x14ac:dyDescent="0.25">
      <c r="A120" s="44" t="s">
        <v>41</v>
      </c>
      <c r="B120" s="44" t="s">
        <v>554</v>
      </c>
      <c r="D120" s="44" t="s">
        <v>555</v>
      </c>
      <c r="E120" s="44" t="s">
        <v>556</v>
      </c>
      <c r="F120" s="44" t="s">
        <v>557</v>
      </c>
      <c r="H120" s="44" t="s">
        <v>558</v>
      </c>
      <c r="J120" s="44" t="s">
        <v>559</v>
      </c>
      <c r="K120" s="44" t="s">
        <v>560</v>
      </c>
      <c r="M120" s="44" t="s">
        <v>561</v>
      </c>
      <c r="N120" s="44" t="s">
        <v>562</v>
      </c>
      <c r="O120" s="44" t="s">
        <v>563</v>
      </c>
      <c r="P120" s="44" t="s">
        <v>564</v>
      </c>
      <c r="Q120" s="44" t="s">
        <v>565</v>
      </c>
      <c r="R120" s="44" t="s">
        <v>566</v>
      </c>
    </row>
    <row r="121" spans="1:18" x14ac:dyDescent="0.25">
      <c r="A121" s="44" t="s">
        <v>41</v>
      </c>
    </row>
    <row r="122" spans="1:18" x14ac:dyDescent="0.25">
      <c r="A122" s="44" t="s">
        <v>41</v>
      </c>
      <c r="D122" s="44" t="s">
        <v>168</v>
      </c>
      <c r="E122" s="44" t="s">
        <v>95</v>
      </c>
      <c r="G122" s="44" t="s">
        <v>169</v>
      </c>
      <c r="H122" s="44" t="s">
        <v>269</v>
      </c>
      <c r="J122" s="44" t="s">
        <v>170</v>
      </c>
      <c r="K122" s="44" t="s">
        <v>171</v>
      </c>
      <c r="L122" s="44" t="s">
        <v>172</v>
      </c>
      <c r="M122" s="44" t="s">
        <v>173</v>
      </c>
      <c r="N122" s="44" t="s">
        <v>174</v>
      </c>
      <c r="O122" s="44" t="s">
        <v>175</v>
      </c>
      <c r="P122" s="44" t="s">
        <v>176</v>
      </c>
      <c r="Q122" s="44" t="s">
        <v>177</v>
      </c>
      <c r="R122" s="44" t="s">
        <v>178</v>
      </c>
    </row>
    <row r="123" spans="1:18" x14ac:dyDescent="0.25">
      <c r="A123" s="44" t="s">
        <v>41</v>
      </c>
      <c r="B123" s="44" t="s">
        <v>567</v>
      </c>
      <c r="D123" s="44" t="s">
        <v>179</v>
      </c>
      <c r="E123" s="44" t="s">
        <v>96</v>
      </c>
      <c r="F123" s="44" t="s">
        <v>180</v>
      </c>
      <c r="H123" s="44" t="s">
        <v>181</v>
      </c>
      <c r="J123" s="44" t="s">
        <v>182</v>
      </c>
      <c r="K123" s="44" t="s">
        <v>183</v>
      </c>
      <c r="M123" s="44" t="s">
        <v>184</v>
      </c>
      <c r="N123" s="44" t="s">
        <v>185</v>
      </c>
      <c r="O123" s="44" t="s">
        <v>186</v>
      </c>
      <c r="P123" s="44" t="s">
        <v>187</v>
      </c>
      <c r="Q123" s="44" t="s">
        <v>188</v>
      </c>
      <c r="R123" s="44" t="s">
        <v>189</v>
      </c>
    </row>
    <row r="124" spans="1:18" x14ac:dyDescent="0.25">
      <c r="A124" s="44" t="s">
        <v>41</v>
      </c>
    </row>
    <row r="125" spans="1:18" x14ac:dyDescent="0.25">
      <c r="A125" s="44" t="s">
        <v>41</v>
      </c>
    </row>
    <row r="126" spans="1:18" x14ac:dyDescent="0.25">
      <c r="A126" s="44" t="s">
        <v>41</v>
      </c>
      <c r="Q126" s="44" t="s">
        <v>568</v>
      </c>
      <c r="R126" s="44" t="s">
        <v>569</v>
      </c>
    </row>
    <row r="127" spans="1:18" x14ac:dyDescent="0.25">
      <c r="A127" s="44" t="s">
        <v>41</v>
      </c>
      <c r="H127" s="44" t="s">
        <v>270</v>
      </c>
      <c r="I127" s="44" t="s">
        <v>190</v>
      </c>
    </row>
    <row r="128" spans="1:18" x14ac:dyDescent="0.25">
      <c r="A128" s="44" t="s">
        <v>41</v>
      </c>
      <c r="H128" s="44" t="s">
        <v>191</v>
      </c>
      <c r="I128" s="44" t="s">
        <v>192</v>
      </c>
    </row>
    <row r="129" spans="1:18" x14ac:dyDescent="0.25">
      <c r="A129" s="44" t="s">
        <v>41</v>
      </c>
      <c r="H129" s="44" t="s">
        <v>193</v>
      </c>
      <c r="I129" s="44" t="s">
        <v>194</v>
      </c>
      <c r="N129" s="44" t="s">
        <v>42</v>
      </c>
      <c r="Q129" s="44" t="s">
        <v>43</v>
      </c>
    </row>
    <row r="130" spans="1:18" x14ac:dyDescent="0.25">
      <c r="A130" s="44" t="s">
        <v>41</v>
      </c>
      <c r="P130" s="44" t="s">
        <v>34</v>
      </c>
      <c r="R130" s="44" t="s">
        <v>34</v>
      </c>
    </row>
    <row r="131" spans="1:18" x14ac:dyDescent="0.25">
      <c r="A131" s="44" t="s">
        <v>41</v>
      </c>
      <c r="D131" s="44" t="s">
        <v>29</v>
      </c>
      <c r="E131" s="44" t="s">
        <v>27</v>
      </c>
      <c r="F131" s="44" t="s">
        <v>26</v>
      </c>
      <c r="G131" s="44" t="s">
        <v>26</v>
      </c>
      <c r="J131" s="44" t="s">
        <v>7</v>
      </c>
      <c r="K131" s="44" t="s">
        <v>23</v>
      </c>
      <c r="L131" s="44" t="s">
        <v>2</v>
      </c>
      <c r="M131" s="44" t="s">
        <v>3</v>
      </c>
      <c r="N131" s="44" t="s">
        <v>35</v>
      </c>
      <c r="O131" s="44" t="s">
        <v>33</v>
      </c>
      <c r="P131" s="44" t="s">
        <v>29</v>
      </c>
      <c r="Q131" s="44" t="s">
        <v>24</v>
      </c>
      <c r="R131" s="44" t="s">
        <v>24</v>
      </c>
    </row>
    <row r="132" spans="1:18" x14ac:dyDescent="0.25">
      <c r="A132" s="44" t="s">
        <v>41</v>
      </c>
      <c r="D132" s="44" t="s">
        <v>195</v>
      </c>
      <c r="E132" s="44" t="s">
        <v>97</v>
      </c>
      <c r="G132" s="44" t="s">
        <v>196</v>
      </c>
      <c r="H132" s="44" t="s">
        <v>197</v>
      </c>
      <c r="J132" s="44" t="s">
        <v>198</v>
      </c>
      <c r="K132" s="44" t="s">
        <v>199</v>
      </c>
      <c r="L132" s="44" t="s">
        <v>200</v>
      </c>
      <c r="M132" s="44" t="s">
        <v>201</v>
      </c>
      <c r="N132" s="44" t="s">
        <v>202</v>
      </c>
      <c r="O132" s="44" t="s">
        <v>203</v>
      </c>
      <c r="P132" s="44" t="s">
        <v>204</v>
      </c>
      <c r="Q132" s="44" t="s">
        <v>205</v>
      </c>
      <c r="R132" s="44" t="s">
        <v>206</v>
      </c>
    </row>
    <row r="133" spans="1:18" x14ac:dyDescent="0.25">
      <c r="A133" s="44" t="s">
        <v>41</v>
      </c>
      <c r="B133" s="44" t="s">
        <v>570</v>
      </c>
      <c r="D133" s="44" t="s">
        <v>207</v>
      </c>
      <c r="E133" s="44" t="s">
        <v>98</v>
      </c>
      <c r="F133" s="44" t="s">
        <v>208</v>
      </c>
      <c r="H133" s="44" t="s">
        <v>209</v>
      </c>
      <c r="J133" s="44" t="s">
        <v>210</v>
      </c>
      <c r="K133" s="44" t="s">
        <v>211</v>
      </c>
      <c r="M133" s="44" t="s">
        <v>212</v>
      </c>
      <c r="N133" s="44" t="s">
        <v>213</v>
      </c>
      <c r="O133" s="44" t="s">
        <v>214</v>
      </c>
      <c r="P133" s="44" t="s">
        <v>215</v>
      </c>
      <c r="Q133" s="44" t="s">
        <v>216</v>
      </c>
      <c r="R133" s="44" t="s">
        <v>217</v>
      </c>
    </row>
    <row r="134" spans="1:18" x14ac:dyDescent="0.25">
      <c r="A134" s="44" t="s">
        <v>41</v>
      </c>
    </row>
    <row r="135" spans="1:18" x14ac:dyDescent="0.25">
      <c r="A135" s="44" t="s">
        <v>41</v>
      </c>
    </row>
    <row r="136" spans="1:18" x14ac:dyDescent="0.25">
      <c r="A136" s="44" t="s">
        <v>41</v>
      </c>
      <c r="Q136" s="44" t="s">
        <v>218</v>
      </c>
      <c r="R136" s="44" t="s">
        <v>219</v>
      </c>
    </row>
    <row r="137" spans="1:18" x14ac:dyDescent="0.25">
      <c r="A137" s="44" t="s">
        <v>41</v>
      </c>
      <c r="H137" s="44" t="s">
        <v>77</v>
      </c>
      <c r="I137" s="44" t="s">
        <v>220</v>
      </c>
    </row>
    <row r="138" spans="1:18" x14ac:dyDescent="0.25">
      <c r="A138" s="44" t="s">
        <v>41</v>
      </c>
      <c r="H138" s="44" t="s">
        <v>221</v>
      </c>
      <c r="I138" s="44" t="s">
        <v>222</v>
      </c>
    </row>
    <row r="139" spans="1:18" x14ac:dyDescent="0.25">
      <c r="A139" s="44" t="s">
        <v>41</v>
      </c>
      <c r="H139" s="44" t="s">
        <v>223</v>
      </c>
      <c r="I139" s="44" t="s">
        <v>224</v>
      </c>
      <c r="N139" s="44" t="s">
        <v>42</v>
      </c>
      <c r="Q139" s="44" t="s">
        <v>43</v>
      </c>
    </row>
    <row r="140" spans="1:18" x14ac:dyDescent="0.25">
      <c r="A140" s="44" t="s">
        <v>41</v>
      </c>
      <c r="P140" s="44" t="s">
        <v>34</v>
      </c>
      <c r="R140" s="44" t="s">
        <v>34</v>
      </c>
    </row>
    <row r="141" spans="1:18" x14ac:dyDescent="0.25">
      <c r="A141" s="44" t="s">
        <v>41</v>
      </c>
      <c r="D141" s="44" t="s">
        <v>29</v>
      </c>
      <c r="E141" s="44" t="s">
        <v>27</v>
      </c>
      <c r="F141" s="44" t="s">
        <v>26</v>
      </c>
      <c r="G141" s="44" t="s">
        <v>26</v>
      </c>
      <c r="J141" s="44" t="s">
        <v>7</v>
      </c>
      <c r="K141" s="44" t="s">
        <v>23</v>
      </c>
      <c r="L141" s="44" t="s">
        <v>2</v>
      </c>
      <c r="M141" s="44" t="s">
        <v>3</v>
      </c>
      <c r="N141" s="44" t="s">
        <v>35</v>
      </c>
      <c r="O141" s="44" t="s">
        <v>33</v>
      </c>
      <c r="P141" s="44" t="s">
        <v>29</v>
      </c>
      <c r="Q141" s="44" t="s">
        <v>24</v>
      </c>
      <c r="R141" s="44" t="s">
        <v>24</v>
      </c>
    </row>
    <row r="142" spans="1:18" x14ac:dyDescent="0.25">
      <c r="A142" s="44" t="s">
        <v>41</v>
      </c>
      <c r="D142" s="44" t="s">
        <v>225</v>
      </c>
      <c r="E142" s="44" t="s">
        <v>99</v>
      </c>
      <c r="G142" s="44" t="s">
        <v>226</v>
      </c>
      <c r="H142" s="44" t="s">
        <v>227</v>
      </c>
      <c r="J142" s="44" t="s">
        <v>228</v>
      </c>
      <c r="K142" s="44" t="s">
        <v>229</v>
      </c>
      <c r="L142" s="44" t="s">
        <v>230</v>
      </c>
      <c r="M142" s="44" t="s">
        <v>231</v>
      </c>
      <c r="N142" s="44" t="s">
        <v>232</v>
      </c>
      <c r="O142" s="44" t="s">
        <v>233</v>
      </c>
      <c r="P142" s="44" t="s">
        <v>234</v>
      </c>
      <c r="Q142" s="44" t="s">
        <v>235</v>
      </c>
      <c r="R142" s="44" t="s">
        <v>236</v>
      </c>
    </row>
    <row r="143" spans="1:18" x14ac:dyDescent="0.25">
      <c r="A143" s="44" t="s">
        <v>41</v>
      </c>
      <c r="B143" s="44" t="s">
        <v>571</v>
      </c>
      <c r="D143" s="44" t="s">
        <v>237</v>
      </c>
      <c r="E143" s="44" t="s">
        <v>100</v>
      </c>
      <c r="F143" s="44" t="s">
        <v>238</v>
      </c>
      <c r="H143" s="44" t="s">
        <v>239</v>
      </c>
      <c r="J143" s="44" t="s">
        <v>240</v>
      </c>
      <c r="K143" s="44" t="s">
        <v>241</v>
      </c>
      <c r="M143" s="44" t="s">
        <v>242</v>
      </c>
      <c r="N143" s="44" t="s">
        <v>243</v>
      </c>
      <c r="O143" s="44" t="s">
        <v>244</v>
      </c>
      <c r="P143" s="44" t="s">
        <v>245</v>
      </c>
      <c r="Q143" s="44" t="s">
        <v>246</v>
      </c>
      <c r="R143" s="44" t="s">
        <v>247</v>
      </c>
    </row>
    <row r="144" spans="1:18" x14ac:dyDescent="0.25">
      <c r="A144" s="44" t="s">
        <v>41</v>
      </c>
    </row>
    <row r="145" spans="1:18" x14ac:dyDescent="0.25">
      <c r="A145" s="44" t="s">
        <v>41</v>
      </c>
    </row>
    <row r="146" spans="1:18" x14ac:dyDescent="0.25">
      <c r="A146" s="44" t="s">
        <v>41</v>
      </c>
      <c r="Q146" s="44" t="s">
        <v>248</v>
      </c>
      <c r="R146" s="44"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Options</vt:lpstr>
      <vt:lpstr>Customer Inv. &amp; Payments</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Invoices &amp; Applied Payments</dc:title>
  <dc:subject>Jet Reports</dc:subject>
  <dc:creator>Keesha M. Wallace</dc:creator>
  <dc:description>List of customer invoices and applied payments including balance for each account.</dc:description>
  <cp:lastModifiedBy>Kim R. Duey</cp:lastModifiedBy>
  <cp:lastPrinted>2013-05-31T22:26:30Z</cp:lastPrinted>
  <dcterms:created xsi:type="dcterms:W3CDTF">2013-05-06T19:01:44Z</dcterms:created>
  <dcterms:modified xsi:type="dcterms:W3CDTF">2018-10-24T21:23:48Z</dcterms:modified>
  <cp:category>Accounts Receivable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Function Literals">
    <vt:lpwstr>,	;	,	{	}	[@[{0}]]	1033</vt:lpwstr>
  </property>
</Properties>
</file>