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bon\jet\CORP\Product Management\Reports - Published\Master List of Reports\NAV\Reports\"/>
    </mc:Choice>
  </mc:AlternateContent>
  <bookViews>
    <workbookView xWindow="0" yWindow="0" windowWidth="19650" windowHeight="8685"/>
  </bookViews>
  <sheets>
    <sheet name="Read Me" sheetId="234" r:id="rId1"/>
    <sheet name="Options" sheetId="1" state="hidden" r:id="rId2"/>
    <sheet name="Report" sheetId="2" r:id="rId3"/>
    <sheet name="Sheet1" sheetId="241" state="veryHidden" r:id="rId4"/>
    <sheet name="Sheet2" sheetId="242" state="veryHidden" r:id="rId5"/>
    <sheet name="Sheet3" sheetId="243" state="veryHidden" r:id="rId6"/>
    <sheet name="Sheet4" sheetId="244" state="veryHidden" r:id="rId7"/>
    <sheet name="Sheet5" sheetId="245" state="veryHidden" r:id="rId8"/>
    <sheet name="Sheet6" sheetId="246" state="veryHidden" r:id="rId9"/>
  </sheets>
  <definedNames>
    <definedName name="AccountType">Report!$E1</definedName>
    <definedName name="BlankZero">Options!$C$8</definedName>
    <definedName name="BudgetName">Options!$C$6</definedName>
    <definedName name="ColumnEndDate">Report!A$9</definedName>
    <definedName name="ColumnStartDate">Report!A$8</definedName>
    <definedName name="DateFilter">Options!$F$3</definedName>
    <definedName name="EndDate">Options!$C$4</definedName>
    <definedName name="GLAccountNo">Options!$C$5</definedName>
    <definedName name="GLTotalingFilter">Report!$H1</definedName>
    <definedName name="Heading">Report!$F1</definedName>
    <definedName name="PeriodType">Options!$C$7</definedName>
    <definedName name="_xlnm.Print_Titles" localSheetId="2">Report!$I:$J,Report!$2:$10</definedName>
    <definedName name="StartDate">Options!$C$3</definedName>
  </definedNames>
  <calcPr calcId="162913"/>
</workbook>
</file>

<file path=xl/calcChain.xml><?xml version="1.0" encoding="utf-8"?>
<calcChain xmlns="http://schemas.openxmlformats.org/spreadsheetml/2006/main">
  <c r="J5" i="2" l="1"/>
  <c r="L8" i="2"/>
  <c r="Q8" i="2"/>
  <c r="V8" i="2"/>
  <c r="AA8" i="2"/>
  <c r="AF8" i="2"/>
  <c r="AK8" i="2"/>
  <c r="L9" i="2"/>
  <c r="Q9" i="2"/>
  <c r="V9" i="2"/>
  <c r="AA9" i="2"/>
  <c r="AF9" i="2"/>
  <c r="AK9" i="2"/>
  <c r="K10" i="2"/>
  <c r="P10" i="2"/>
  <c r="U10" i="2"/>
  <c r="Z10" i="2"/>
  <c r="AE10" i="2"/>
  <c r="AJ10" i="2"/>
  <c r="D12" i="2"/>
  <c r="E12" i="2"/>
  <c r="F12" i="2" s="1"/>
  <c r="H12" i="2"/>
  <c r="I12" i="2"/>
  <c r="M12" i="2"/>
  <c r="N12" i="2"/>
  <c r="R12" i="2"/>
  <c r="S12" i="2"/>
  <c r="W12" i="2"/>
  <c r="X12" i="2"/>
  <c r="AB12" i="2"/>
  <c r="AC12" i="2"/>
  <c r="AG12" i="2"/>
  <c r="AH12" i="2"/>
  <c r="D13" i="2"/>
  <c r="E13" i="2"/>
  <c r="H13" i="2" s="1"/>
  <c r="F13" i="2"/>
  <c r="I13" i="2"/>
  <c r="M13" i="2"/>
  <c r="N13" i="2"/>
  <c r="R13" i="2"/>
  <c r="S13" i="2"/>
  <c r="W13" i="2"/>
  <c r="X13" i="2"/>
  <c r="AB13" i="2"/>
  <c r="AC13" i="2"/>
  <c r="AG13" i="2"/>
  <c r="AH13" i="2"/>
  <c r="D14" i="2"/>
  <c r="E14" i="2"/>
  <c r="F14" i="2" s="1"/>
  <c r="I14" i="2"/>
  <c r="M14" i="2"/>
  <c r="N14" i="2" s="1"/>
  <c r="R14" i="2"/>
  <c r="S14" i="2" s="1"/>
  <c r="W14" i="2"/>
  <c r="X14" i="2" s="1"/>
  <c r="AB14" i="2"/>
  <c r="AC14" i="2" s="1"/>
  <c r="AG14" i="2"/>
  <c r="AH14" i="2" s="1"/>
  <c r="D15" i="2"/>
  <c r="H15" i="2" s="1"/>
  <c r="E15" i="2"/>
  <c r="F15" i="2"/>
  <c r="I15" i="2"/>
  <c r="M15" i="2"/>
  <c r="N15" i="2"/>
  <c r="R15" i="2"/>
  <c r="S15" i="2"/>
  <c r="W15" i="2"/>
  <c r="X15" i="2"/>
  <c r="AB15" i="2"/>
  <c r="AC15" i="2"/>
  <c r="AG15" i="2"/>
  <c r="AH15" i="2"/>
  <c r="D16" i="2"/>
  <c r="E16" i="2"/>
  <c r="F16" i="2" s="1"/>
  <c r="H16" i="2"/>
  <c r="I16" i="2"/>
  <c r="M16" i="2"/>
  <c r="N16" i="2" s="1"/>
  <c r="R16" i="2"/>
  <c r="S16" i="2" s="1"/>
  <c r="W16" i="2"/>
  <c r="X16" i="2" s="1"/>
  <c r="AB16" i="2"/>
  <c r="AC16" i="2" s="1"/>
  <c r="AG16" i="2"/>
  <c r="AH16" i="2" s="1"/>
  <c r="D17" i="2"/>
  <c r="E17" i="2"/>
  <c r="H17" i="2" s="1"/>
  <c r="F17" i="2"/>
  <c r="I17" i="2"/>
  <c r="M17" i="2"/>
  <c r="N17" i="2"/>
  <c r="R17" i="2"/>
  <c r="S17" i="2"/>
  <c r="W17" i="2"/>
  <c r="X17" i="2"/>
  <c r="AB17" i="2"/>
  <c r="AC17" i="2"/>
  <c r="AG17" i="2"/>
  <c r="AH17" i="2"/>
  <c r="D18" i="2"/>
  <c r="E18" i="2"/>
  <c r="H18" i="2" s="1"/>
  <c r="I18" i="2"/>
  <c r="M18" i="2"/>
  <c r="N18" i="2"/>
  <c r="R18" i="2"/>
  <c r="S18" i="2"/>
  <c r="W18" i="2"/>
  <c r="X18" i="2"/>
  <c r="AB18" i="2"/>
  <c r="AC18" i="2"/>
  <c r="AG18" i="2"/>
  <c r="AH18" i="2"/>
  <c r="D19" i="2"/>
  <c r="H19" i="2" s="1"/>
  <c r="E19" i="2"/>
  <c r="F19" i="2"/>
  <c r="I19" i="2"/>
  <c r="M19" i="2"/>
  <c r="N19" i="2"/>
  <c r="R19" i="2"/>
  <c r="S19" i="2"/>
  <c r="W19" i="2"/>
  <c r="X19" i="2"/>
  <c r="AB19" i="2"/>
  <c r="AC19" i="2"/>
  <c r="AG19" i="2"/>
  <c r="AH19" i="2"/>
  <c r="D20" i="2"/>
  <c r="E20" i="2"/>
  <c r="F20" i="2" s="1"/>
  <c r="H20" i="2"/>
  <c r="I20" i="2"/>
  <c r="M20" i="2"/>
  <c r="N20" i="2" s="1"/>
  <c r="R20" i="2"/>
  <c r="S20" i="2" s="1"/>
  <c r="W20" i="2"/>
  <c r="X20" i="2" s="1"/>
  <c r="AB20" i="2"/>
  <c r="AC20" i="2" s="1"/>
  <c r="AG20" i="2"/>
  <c r="AH20" i="2" s="1"/>
  <c r="D21" i="2"/>
  <c r="E21" i="2"/>
  <c r="H21" i="2" s="1"/>
  <c r="F21" i="2"/>
  <c r="I21" i="2"/>
  <c r="M21" i="2"/>
  <c r="N21" i="2"/>
  <c r="R21" i="2"/>
  <c r="S21" i="2"/>
  <c r="W21" i="2"/>
  <c r="X21" i="2"/>
  <c r="AB21" i="2"/>
  <c r="AC21" i="2"/>
  <c r="AG21" i="2"/>
  <c r="AH21" i="2"/>
  <c r="D22" i="2"/>
  <c r="E22" i="2"/>
  <c r="F22" i="2" s="1"/>
  <c r="I22" i="2"/>
  <c r="M22" i="2"/>
  <c r="N22" i="2"/>
  <c r="R22" i="2"/>
  <c r="S22" i="2"/>
  <c r="W22" i="2"/>
  <c r="X22" i="2"/>
  <c r="AB22" i="2"/>
  <c r="AC22" i="2"/>
  <c r="AG22" i="2"/>
  <c r="AH22" i="2"/>
  <c r="D23" i="2"/>
  <c r="H23" i="2" s="1"/>
  <c r="E23" i="2"/>
  <c r="F23" i="2"/>
  <c r="I23" i="2"/>
  <c r="M23" i="2"/>
  <c r="N23" i="2"/>
  <c r="R23" i="2"/>
  <c r="S23" i="2"/>
  <c r="W23" i="2"/>
  <c r="X23" i="2"/>
  <c r="AB23" i="2"/>
  <c r="AC23" i="2"/>
  <c r="AG23" i="2"/>
  <c r="AH23" i="2"/>
  <c r="D24" i="2"/>
  <c r="E24" i="2"/>
  <c r="F24" i="2" s="1"/>
  <c r="H24" i="2"/>
  <c r="I24" i="2"/>
  <c r="M24" i="2"/>
  <c r="N24" i="2" s="1"/>
  <c r="R24" i="2"/>
  <c r="S24" i="2" s="1"/>
  <c r="W24" i="2"/>
  <c r="X24" i="2" s="1"/>
  <c r="AB24" i="2"/>
  <c r="AC24" i="2" s="1"/>
  <c r="AG24" i="2"/>
  <c r="AH24" i="2" s="1"/>
  <c r="D25" i="2"/>
  <c r="E25" i="2"/>
  <c r="H25" i="2" s="1"/>
  <c r="F25" i="2"/>
  <c r="I25" i="2"/>
  <c r="M25" i="2"/>
  <c r="N25" i="2"/>
  <c r="R25" i="2"/>
  <c r="S25" i="2"/>
  <c r="W25" i="2"/>
  <c r="X25" i="2"/>
  <c r="AB25" i="2"/>
  <c r="AC25" i="2"/>
  <c r="AG25" i="2"/>
  <c r="AH25" i="2"/>
  <c r="D26" i="2"/>
  <c r="E26" i="2"/>
  <c r="H26" i="2" s="1"/>
  <c r="I26" i="2"/>
  <c r="M26" i="2"/>
  <c r="N26" i="2" s="1"/>
  <c r="R26" i="2"/>
  <c r="S26" i="2" s="1"/>
  <c r="W26" i="2"/>
  <c r="X26" i="2" s="1"/>
  <c r="AB26" i="2"/>
  <c r="AC26" i="2" s="1"/>
  <c r="AG26" i="2"/>
  <c r="AH26" i="2" s="1"/>
  <c r="D27" i="2"/>
  <c r="H27" i="2" s="1"/>
  <c r="E27" i="2"/>
  <c r="F27" i="2"/>
  <c r="I27" i="2"/>
  <c r="M27" i="2"/>
  <c r="N27" i="2"/>
  <c r="R27" i="2"/>
  <c r="S27" i="2"/>
  <c r="W27" i="2"/>
  <c r="X27" i="2"/>
  <c r="AB27" i="2"/>
  <c r="AC27" i="2"/>
  <c r="AG27" i="2"/>
  <c r="AH27" i="2"/>
  <c r="D28" i="2"/>
  <c r="E28" i="2"/>
  <c r="F28" i="2" s="1"/>
  <c r="H28" i="2"/>
  <c r="I28" i="2"/>
  <c r="M28" i="2"/>
  <c r="N28" i="2" s="1"/>
  <c r="R28" i="2"/>
  <c r="S28" i="2" s="1"/>
  <c r="W28" i="2"/>
  <c r="X28" i="2" s="1"/>
  <c r="AB28" i="2"/>
  <c r="AC28" i="2" s="1"/>
  <c r="AG28" i="2"/>
  <c r="AH28" i="2" s="1"/>
  <c r="D29" i="2"/>
  <c r="E29" i="2"/>
  <c r="H29" i="2" s="1"/>
  <c r="F29" i="2"/>
  <c r="I29" i="2"/>
  <c r="M29" i="2"/>
  <c r="N29" i="2"/>
  <c r="R29" i="2"/>
  <c r="S29" i="2"/>
  <c r="W29" i="2"/>
  <c r="X29" i="2"/>
  <c r="AB29" i="2"/>
  <c r="AC29" i="2"/>
  <c r="AG29" i="2"/>
  <c r="AH29" i="2"/>
  <c r="D30" i="2"/>
  <c r="E30" i="2"/>
  <c r="F30" i="2" s="1"/>
  <c r="I30" i="2"/>
  <c r="M30" i="2"/>
  <c r="N30" i="2" s="1"/>
  <c r="R30" i="2"/>
  <c r="S30" i="2" s="1"/>
  <c r="W30" i="2"/>
  <c r="X30" i="2" s="1"/>
  <c r="AB30" i="2"/>
  <c r="AC30" i="2" s="1"/>
  <c r="AG30" i="2"/>
  <c r="AH30" i="2" s="1"/>
  <c r="D31" i="2"/>
  <c r="H31" i="2" s="1"/>
  <c r="E31" i="2"/>
  <c r="F31" i="2"/>
  <c r="I31" i="2"/>
  <c r="M31" i="2"/>
  <c r="N31" i="2"/>
  <c r="R31" i="2"/>
  <c r="S31" i="2"/>
  <c r="W31" i="2"/>
  <c r="X31" i="2"/>
  <c r="AB31" i="2"/>
  <c r="AC31" i="2"/>
  <c r="AG31" i="2"/>
  <c r="AH31" i="2"/>
  <c r="D32" i="2"/>
  <c r="E32" i="2"/>
  <c r="F32" i="2" s="1"/>
  <c r="H32" i="2"/>
  <c r="I32" i="2"/>
  <c r="M32" i="2"/>
  <c r="N32" i="2" s="1"/>
  <c r="R32" i="2"/>
  <c r="S32" i="2" s="1"/>
  <c r="W32" i="2"/>
  <c r="X32" i="2" s="1"/>
  <c r="AB32" i="2"/>
  <c r="AC32" i="2" s="1"/>
  <c r="AG32" i="2"/>
  <c r="AH32" i="2" s="1"/>
  <c r="D33" i="2"/>
  <c r="E33" i="2"/>
  <c r="H33" i="2" s="1"/>
  <c r="F33" i="2"/>
  <c r="I33" i="2"/>
  <c r="M33" i="2"/>
  <c r="N33" i="2"/>
  <c r="R33" i="2"/>
  <c r="S33" i="2"/>
  <c r="W33" i="2"/>
  <c r="X33" i="2"/>
  <c r="AB33" i="2"/>
  <c r="AC33" i="2"/>
  <c r="AG33" i="2"/>
  <c r="AH33" i="2"/>
  <c r="D34" i="2"/>
  <c r="E34" i="2"/>
  <c r="H34" i="2" s="1"/>
  <c r="I34" i="2"/>
  <c r="M34" i="2"/>
  <c r="N34" i="2" s="1"/>
  <c r="R34" i="2"/>
  <c r="S34" i="2" s="1"/>
  <c r="W34" i="2"/>
  <c r="X34" i="2" s="1"/>
  <c r="AB34" i="2"/>
  <c r="AC34" i="2" s="1"/>
  <c r="AG34" i="2"/>
  <c r="AH34" i="2" s="1"/>
  <c r="D35" i="2"/>
  <c r="H35" i="2" s="1"/>
  <c r="E35" i="2"/>
  <c r="F35" i="2"/>
  <c r="I35" i="2"/>
  <c r="M35" i="2"/>
  <c r="N35" i="2"/>
  <c r="R35" i="2"/>
  <c r="S35" i="2"/>
  <c r="W35" i="2"/>
  <c r="X35" i="2"/>
  <c r="AB35" i="2"/>
  <c r="AC35" i="2"/>
  <c r="AG35" i="2"/>
  <c r="AH35" i="2"/>
  <c r="D36" i="2"/>
  <c r="E36" i="2"/>
  <c r="F36" i="2" s="1"/>
  <c r="H36" i="2"/>
  <c r="I36" i="2"/>
  <c r="M36" i="2"/>
  <c r="N36" i="2"/>
  <c r="R36" i="2"/>
  <c r="S36" i="2"/>
  <c r="W36" i="2"/>
  <c r="X36" i="2"/>
  <c r="AB36" i="2"/>
  <c r="AC36" i="2"/>
  <c r="AG36" i="2"/>
  <c r="AH36" i="2"/>
  <c r="D37" i="2"/>
  <c r="E37" i="2"/>
  <c r="H37" i="2" s="1"/>
  <c r="F37" i="2"/>
  <c r="I37" i="2"/>
  <c r="M37" i="2"/>
  <c r="N37" i="2"/>
  <c r="R37" i="2"/>
  <c r="S37" i="2"/>
  <c r="W37" i="2"/>
  <c r="X37" i="2"/>
  <c r="AB37" i="2"/>
  <c r="AC37" i="2"/>
  <c r="AG37" i="2"/>
  <c r="AH37" i="2"/>
  <c r="D38" i="2"/>
  <c r="E38" i="2"/>
  <c r="F38" i="2" s="1"/>
  <c r="I38" i="2"/>
  <c r="M38" i="2"/>
  <c r="N38" i="2"/>
  <c r="R38" i="2"/>
  <c r="S38" i="2"/>
  <c r="W38" i="2"/>
  <c r="X38" i="2"/>
  <c r="AB38" i="2"/>
  <c r="AC38" i="2"/>
  <c r="AG38" i="2"/>
  <c r="AH38" i="2"/>
  <c r="D39" i="2"/>
  <c r="H39" i="2" s="1"/>
  <c r="E39" i="2"/>
  <c r="F39" i="2"/>
  <c r="I39" i="2"/>
  <c r="M39" i="2"/>
  <c r="N39" i="2"/>
  <c r="R39" i="2"/>
  <c r="S39" i="2"/>
  <c r="W39" i="2"/>
  <c r="X39" i="2"/>
  <c r="AB39" i="2"/>
  <c r="AC39" i="2"/>
  <c r="AG39" i="2"/>
  <c r="AH39" i="2"/>
  <c r="D40" i="2"/>
  <c r="E40" i="2"/>
  <c r="F40" i="2" s="1"/>
  <c r="H40" i="2"/>
  <c r="I40" i="2"/>
  <c r="M40" i="2"/>
  <c r="N40" i="2" s="1"/>
  <c r="R40" i="2"/>
  <c r="S40" i="2" s="1"/>
  <c r="W40" i="2"/>
  <c r="X40" i="2" s="1"/>
  <c r="AB40" i="2"/>
  <c r="AC40" i="2" s="1"/>
  <c r="AG40" i="2"/>
  <c r="AH40" i="2" s="1"/>
  <c r="D41" i="2"/>
  <c r="E41" i="2"/>
  <c r="H41" i="2" s="1"/>
  <c r="F41" i="2"/>
  <c r="I41" i="2"/>
  <c r="M41" i="2"/>
  <c r="N41" i="2"/>
  <c r="R41" i="2"/>
  <c r="S41" i="2"/>
  <c r="W41" i="2"/>
  <c r="X41" i="2"/>
  <c r="AB41" i="2"/>
  <c r="AC41" i="2"/>
  <c r="AG41" i="2"/>
  <c r="AH41" i="2"/>
  <c r="D42" i="2"/>
  <c r="E42" i="2"/>
  <c r="H42" i="2" s="1"/>
  <c r="I42" i="2"/>
  <c r="M42" i="2"/>
  <c r="N42" i="2" s="1"/>
  <c r="R42" i="2"/>
  <c r="S42" i="2" s="1"/>
  <c r="W42" i="2"/>
  <c r="X42" i="2" s="1"/>
  <c r="AB42" i="2"/>
  <c r="AC42" i="2" s="1"/>
  <c r="AG42" i="2"/>
  <c r="AH42" i="2" s="1"/>
  <c r="D43" i="2"/>
  <c r="E43" i="2"/>
  <c r="F43" i="2"/>
  <c r="H43" i="2"/>
  <c r="I43" i="2"/>
  <c r="M43" i="2"/>
  <c r="N43" i="2"/>
  <c r="R43" i="2"/>
  <c r="S43" i="2"/>
  <c r="W43" i="2"/>
  <c r="X43" i="2"/>
  <c r="AB43" i="2"/>
  <c r="AC43" i="2"/>
  <c r="AG43" i="2"/>
  <c r="AH43" i="2"/>
  <c r="D44" i="2"/>
  <c r="E44" i="2"/>
  <c r="F44" i="2" s="1"/>
  <c r="H44" i="2"/>
  <c r="I44" i="2"/>
  <c r="M44" i="2"/>
  <c r="N44" i="2" s="1"/>
  <c r="R44" i="2"/>
  <c r="S44" i="2" s="1"/>
  <c r="W44" i="2"/>
  <c r="X44" i="2" s="1"/>
  <c r="AB44" i="2"/>
  <c r="AC44" i="2" s="1"/>
  <c r="AG44" i="2"/>
  <c r="AH44" i="2" s="1"/>
  <c r="D45" i="2"/>
  <c r="E45" i="2"/>
  <c r="H45" i="2" s="1"/>
  <c r="F45" i="2"/>
  <c r="I45" i="2"/>
  <c r="M45" i="2"/>
  <c r="N45" i="2"/>
  <c r="R45" i="2"/>
  <c r="S45" i="2"/>
  <c r="W45" i="2"/>
  <c r="X45" i="2"/>
  <c r="AB45" i="2"/>
  <c r="AC45" i="2"/>
  <c r="AG45" i="2"/>
  <c r="AH45" i="2"/>
  <c r="D46" i="2"/>
  <c r="E46" i="2"/>
  <c r="F46" i="2" s="1"/>
  <c r="I46" i="2"/>
  <c r="M46" i="2"/>
  <c r="N46" i="2" s="1"/>
  <c r="R46" i="2"/>
  <c r="S46" i="2" s="1"/>
  <c r="W46" i="2"/>
  <c r="X46" i="2" s="1"/>
  <c r="AB46" i="2"/>
  <c r="AC46" i="2" s="1"/>
  <c r="AG46" i="2"/>
  <c r="AH46" i="2" s="1"/>
  <c r="D47" i="2"/>
  <c r="H47" i="2" s="1"/>
  <c r="E47" i="2"/>
  <c r="F47" i="2"/>
  <c r="I47" i="2"/>
  <c r="M47" i="2"/>
  <c r="N47" i="2"/>
  <c r="R47" i="2"/>
  <c r="S47" i="2"/>
  <c r="W47" i="2"/>
  <c r="X47" i="2"/>
  <c r="AB47" i="2"/>
  <c r="AC47" i="2"/>
  <c r="AG47" i="2"/>
  <c r="AH47" i="2"/>
  <c r="D48" i="2"/>
  <c r="E48" i="2"/>
  <c r="F48" i="2" s="1"/>
  <c r="H48" i="2"/>
  <c r="I48" i="2"/>
  <c r="M48" i="2"/>
  <c r="N48" i="2"/>
  <c r="R48" i="2"/>
  <c r="S48" i="2"/>
  <c r="W48" i="2"/>
  <c r="X48" i="2"/>
  <c r="AB48" i="2"/>
  <c r="AC48" i="2"/>
  <c r="AG48" i="2"/>
  <c r="AH48" i="2"/>
  <c r="D49" i="2"/>
  <c r="E49" i="2"/>
  <c r="H49" i="2" s="1"/>
  <c r="F49" i="2"/>
  <c r="I49" i="2"/>
  <c r="M49" i="2"/>
  <c r="N49" i="2"/>
  <c r="R49" i="2"/>
  <c r="S49" i="2"/>
  <c r="W49" i="2"/>
  <c r="X49" i="2"/>
  <c r="AB49" i="2"/>
  <c r="AC49" i="2"/>
  <c r="AG49" i="2"/>
  <c r="AH49" i="2"/>
  <c r="D50" i="2"/>
  <c r="E50" i="2"/>
  <c r="H50" i="2" s="1"/>
  <c r="I50" i="2"/>
  <c r="M50" i="2"/>
  <c r="N50" i="2"/>
  <c r="R50" i="2"/>
  <c r="S50" i="2"/>
  <c r="W50" i="2"/>
  <c r="X50" i="2"/>
  <c r="AB50" i="2"/>
  <c r="AC50" i="2"/>
  <c r="AG50" i="2"/>
  <c r="AH50" i="2"/>
  <c r="D51" i="2"/>
  <c r="H51" i="2" s="1"/>
  <c r="E51" i="2"/>
  <c r="F51" i="2"/>
  <c r="I51" i="2"/>
  <c r="M51" i="2"/>
  <c r="N51" i="2"/>
  <c r="R51" i="2"/>
  <c r="S51" i="2"/>
  <c r="W51" i="2"/>
  <c r="X51" i="2"/>
  <c r="AB51" i="2"/>
  <c r="AC51" i="2"/>
  <c r="AG51" i="2"/>
  <c r="AH51" i="2"/>
  <c r="D52" i="2"/>
  <c r="E52" i="2"/>
  <c r="F52" i="2" s="1"/>
  <c r="H52" i="2"/>
  <c r="I52" i="2"/>
  <c r="M52" i="2"/>
  <c r="N52" i="2"/>
  <c r="R52" i="2"/>
  <c r="S52" i="2"/>
  <c r="W52" i="2"/>
  <c r="X52" i="2"/>
  <c r="AB52" i="2"/>
  <c r="AC52" i="2"/>
  <c r="AG52" i="2"/>
  <c r="AH52" i="2"/>
  <c r="D53" i="2"/>
  <c r="E53" i="2"/>
  <c r="H53" i="2" s="1"/>
  <c r="F53" i="2"/>
  <c r="I53" i="2"/>
  <c r="M53" i="2"/>
  <c r="N53" i="2"/>
  <c r="R53" i="2"/>
  <c r="S53" i="2"/>
  <c r="W53" i="2"/>
  <c r="X53" i="2"/>
  <c r="AB53" i="2"/>
  <c r="AC53" i="2"/>
  <c r="AG53" i="2"/>
  <c r="AH53" i="2"/>
  <c r="D54" i="2"/>
  <c r="E54" i="2"/>
  <c r="F54" i="2" s="1"/>
  <c r="I54" i="2"/>
  <c r="M54" i="2"/>
  <c r="N54" i="2"/>
  <c r="R54" i="2"/>
  <c r="S54" i="2"/>
  <c r="W54" i="2"/>
  <c r="X54" i="2"/>
  <c r="AB54" i="2"/>
  <c r="AC54" i="2"/>
  <c r="AG54" i="2"/>
  <c r="AH54" i="2"/>
  <c r="D55" i="2"/>
  <c r="H55" i="2" s="1"/>
  <c r="E55" i="2"/>
  <c r="F55" i="2"/>
  <c r="I55" i="2"/>
  <c r="M55" i="2"/>
  <c r="N55" i="2"/>
  <c r="R55" i="2"/>
  <c r="S55" i="2"/>
  <c r="W55" i="2"/>
  <c r="X55" i="2"/>
  <c r="AB55" i="2"/>
  <c r="AC55" i="2"/>
  <c r="AG55" i="2"/>
  <c r="AH55" i="2"/>
  <c r="D56" i="2"/>
  <c r="E56" i="2"/>
  <c r="F56" i="2" s="1"/>
  <c r="H56" i="2"/>
  <c r="I56" i="2"/>
  <c r="M56" i="2"/>
  <c r="N56" i="2"/>
  <c r="R56" i="2"/>
  <c r="S56" i="2"/>
  <c r="W56" i="2"/>
  <c r="X56" i="2"/>
  <c r="AB56" i="2"/>
  <c r="AC56" i="2"/>
  <c r="AG56" i="2"/>
  <c r="AH56" i="2"/>
  <c r="D57" i="2"/>
  <c r="E57" i="2"/>
  <c r="H57" i="2" s="1"/>
  <c r="F57" i="2"/>
  <c r="I57" i="2"/>
  <c r="M57" i="2"/>
  <c r="N57" i="2"/>
  <c r="R57" i="2"/>
  <c r="S57" i="2"/>
  <c r="W57" i="2"/>
  <c r="X57" i="2"/>
  <c r="AB57" i="2"/>
  <c r="AC57" i="2"/>
  <c r="AG57" i="2"/>
  <c r="AH57" i="2"/>
  <c r="D58" i="2"/>
  <c r="E58" i="2"/>
  <c r="H58" i="2" s="1"/>
  <c r="I58" i="2"/>
  <c r="M58" i="2"/>
  <c r="N58" i="2"/>
  <c r="R58" i="2"/>
  <c r="S58" i="2"/>
  <c r="W58" i="2"/>
  <c r="X58" i="2"/>
  <c r="AB58" i="2"/>
  <c r="AC58" i="2"/>
  <c r="AG58" i="2"/>
  <c r="AH58" i="2"/>
  <c r="D59" i="2"/>
  <c r="H59" i="2" s="1"/>
  <c r="E59" i="2"/>
  <c r="F59" i="2"/>
  <c r="I59" i="2"/>
  <c r="M59" i="2"/>
  <c r="N59" i="2"/>
  <c r="R59" i="2"/>
  <c r="S59" i="2"/>
  <c r="W59" i="2"/>
  <c r="X59" i="2"/>
  <c r="AB59" i="2"/>
  <c r="AC59" i="2"/>
  <c r="AG59" i="2"/>
  <c r="AH59" i="2"/>
  <c r="D60" i="2"/>
  <c r="E60" i="2"/>
  <c r="F60" i="2" s="1"/>
  <c r="H60" i="2"/>
  <c r="I60" i="2"/>
  <c r="M60" i="2"/>
  <c r="N60" i="2" s="1"/>
  <c r="R60" i="2"/>
  <c r="S60" i="2" s="1"/>
  <c r="W60" i="2"/>
  <c r="X60" i="2" s="1"/>
  <c r="AB60" i="2"/>
  <c r="AC60" i="2" s="1"/>
  <c r="AG60" i="2"/>
  <c r="AH60" i="2" s="1"/>
  <c r="D61" i="2"/>
  <c r="E61" i="2"/>
  <c r="H61" i="2" s="1"/>
  <c r="F61" i="2"/>
  <c r="I61" i="2"/>
  <c r="M61" i="2"/>
  <c r="N61" i="2"/>
  <c r="R61" i="2"/>
  <c r="S61" i="2"/>
  <c r="W61" i="2"/>
  <c r="X61" i="2"/>
  <c r="AB61" i="2"/>
  <c r="AC61" i="2"/>
  <c r="AG61" i="2"/>
  <c r="AH61" i="2"/>
  <c r="D62" i="2"/>
  <c r="E62" i="2"/>
  <c r="F62" i="2" s="1"/>
  <c r="I62" i="2"/>
  <c r="M62" i="2"/>
  <c r="N62" i="2"/>
  <c r="R62" i="2"/>
  <c r="S62" i="2"/>
  <c r="W62" i="2"/>
  <c r="X62" i="2"/>
  <c r="AB62" i="2"/>
  <c r="AC62" i="2"/>
  <c r="AG62" i="2"/>
  <c r="AH62" i="2"/>
  <c r="F3" i="1"/>
  <c r="D5" i="1"/>
  <c r="D6" i="1"/>
  <c r="D7" i="1"/>
  <c r="D8" i="1"/>
  <c r="F58" i="2" l="1"/>
  <c r="F50" i="2"/>
  <c r="F42" i="2"/>
  <c r="F34" i="2"/>
  <c r="F26" i="2"/>
  <c r="F18" i="2"/>
  <c r="H62" i="2"/>
  <c r="H54" i="2"/>
  <c r="H46" i="2"/>
  <c r="H38" i="2"/>
  <c r="H30" i="2"/>
  <c r="H22" i="2"/>
  <c r="H14" i="2"/>
  <c r="I3" i="2"/>
  <c r="J4" i="2"/>
  <c r="C8" i="1"/>
  <c r="C6" i="1"/>
  <c r="C5" i="1"/>
  <c r="C4" i="1"/>
  <c r="AM51" i="2" l="1"/>
  <c r="AM49" i="2"/>
  <c r="AM36" i="2"/>
  <c r="AM48" i="2"/>
  <c r="AL36" i="2"/>
  <c r="AL26" i="2"/>
  <c r="AM26" i="2" s="1"/>
  <c r="AM38" i="2"/>
  <c r="AL28" i="2"/>
  <c r="AM28" i="2" s="1"/>
  <c r="AM19" i="2"/>
  <c r="AM57" i="2"/>
  <c r="AL57" i="2"/>
  <c r="AM43" i="2"/>
  <c r="AL43" i="2"/>
  <c r="AM58" i="2"/>
  <c r="AM59" i="2"/>
  <c r="AM52" i="2"/>
  <c r="AL38" i="2"/>
  <c r="AM25" i="2"/>
  <c r="AM55" i="2"/>
  <c r="AL55" i="2"/>
  <c r="AM54" i="2"/>
  <c r="AL54" i="2"/>
  <c r="AL61" i="2"/>
  <c r="AM61" i="2" s="1"/>
  <c r="AM56" i="2"/>
  <c r="AL51" i="2"/>
  <c r="AL35" i="2"/>
  <c r="AM35" i="2" s="1"/>
  <c r="AL32" i="2"/>
  <c r="AM32" i="2" s="1"/>
  <c r="AM27" i="2"/>
  <c r="AL27" i="2"/>
  <c r="AM50" i="2"/>
  <c r="AL40" i="2"/>
  <c r="AM40" i="2" s="1"/>
  <c r="AL48" i="2"/>
  <c r="AL47" i="2"/>
  <c r="AM47" i="2" s="1"/>
  <c r="AL34" i="2"/>
  <c r="AM34" i="2" s="1"/>
  <c r="AL41" i="2"/>
  <c r="AM41" i="2" s="1"/>
  <c r="AL25" i="2"/>
  <c r="AM13" i="2"/>
  <c r="AL18" i="2"/>
  <c r="AL13" i="2"/>
  <c r="AL19" i="2"/>
  <c r="AL16" i="2"/>
  <c r="AM16" i="2" s="1"/>
  <c r="AL15" i="2"/>
  <c r="AM15" i="2" s="1"/>
  <c r="AL29" i="2"/>
  <c r="AM29" i="2" s="1"/>
  <c r="AL58" i="2"/>
  <c r="AL59" i="2"/>
  <c r="AL37" i="2"/>
  <c r="AM37" i="2" s="1"/>
  <c r="AL52" i="2"/>
  <c r="AM18" i="2"/>
  <c r="AM33" i="2"/>
  <c r="AL33" i="2"/>
  <c r="AL14" i="2"/>
  <c r="AM14" i="2"/>
  <c r="AL21" i="2"/>
  <c r="AM21" i="2" s="1"/>
  <c r="AL17" i="2"/>
  <c r="AM17" i="2" s="1"/>
  <c r="AL60" i="2"/>
  <c r="AM60" i="2" s="1"/>
  <c r="AL56" i="2"/>
  <c r="AM62" i="2"/>
  <c r="AL62" i="2"/>
  <c r="AL45" i="2"/>
  <c r="AM45" i="2" s="1"/>
  <c r="AM53" i="2"/>
  <c r="AL53" i="2"/>
  <c r="AL42" i="2"/>
  <c r="AM42" i="2" s="1"/>
  <c r="AL39" i="2"/>
  <c r="AM39" i="2" s="1"/>
  <c r="AL46" i="2"/>
  <c r="AM46" i="2" s="1"/>
  <c r="AL44" i="2"/>
  <c r="AM44" i="2" s="1"/>
  <c r="AM22" i="2"/>
  <c r="AL22" i="2"/>
  <c r="AL20" i="2"/>
  <c r="AM20" i="2" s="1"/>
  <c r="AL30" i="2"/>
  <c r="AM30" i="2" s="1"/>
  <c r="AL31" i="2"/>
  <c r="AM31" i="2" s="1"/>
  <c r="AM23" i="2"/>
  <c r="AL23" i="2"/>
  <c r="AL49" i="2"/>
  <c r="AL50" i="2"/>
  <c r="AL24" i="2"/>
  <c r="AM24" i="2" s="1"/>
  <c r="C3" i="1"/>
  <c r="B57" i="2" l="1"/>
  <c r="B60" i="2"/>
  <c r="B45" i="2"/>
  <c r="B46" i="2"/>
  <c r="B34" i="2"/>
  <c r="B53" i="2"/>
  <c r="B43" i="2"/>
  <c r="B19" i="2"/>
  <c r="B52" i="2"/>
  <c r="B31" i="2"/>
  <c r="B48" i="2"/>
  <c r="B13" i="2"/>
  <c r="B38" i="2"/>
  <c r="B50" i="2"/>
  <c r="B47" i="2"/>
  <c r="B16" i="2"/>
  <c r="B40" i="2"/>
  <c r="B35" i="2"/>
  <c r="B17" i="2"/>
  <c r="B56" i="2"/>
  <c r="B51" i="2"/>
  <c r="B33" i="2"/>
  <c r="B14" i="2"/>
  <c r="B18" i="2"/>
  <c r="B20" i="2"/>
  <c r="B26" i="2"/>
  <c r="B58" i="2"/>
  <c r="B22" i="2"/>
  <c r="B32" i="2"/>
  <c r="B25" i="2"/>
  <c r="B39" i="2"/>
  <c r="AL12" i="2"/>
  <c r="B12" i="2" s="1"/>
  <c r="AM12" i="2"/>
  <c r="B24" i="2" l="1"/>
  <c r="B42" i="2"/>
  <c r="B61" i="2"/>
  <c r="B41" i="2"/>
  <c r="B21" i="2"/>
  <c r="B37" i="2"/>
  <c r="B59" i="2"/>
  <c r="B28" i="2"/>
  <c r="B29" i="2"/>
  <c r="B44" i="2"/>
  <c r="B62" i="2"/>
  <c r="B36" i="2"/>
  <c r="B23" i="2"/>
  <c r="B54" i="2"/>
  <c r="B27" i="2"/>
  <c r="B49" i="2"/>
  <c r="B15" i="2"/>
  <c r="B30" i="2"/>
  <c r="B55" i="2"/>
</calcChain>
</file>

<file path=xl/sharedStrings.xml><?xml version="1.0" encoding="utf-8"?>
<sst xmlns="http://schemas.openxmlformats.org/spreadsheetml/2006/main" count="2095" uniqueCount="1126">
  <si>
    <t>Title</t>
  </si>
  <si>
    <t>Value</t>
  </si>
  <si>
    <t>Lookup</t>
  </si>
  <si>
    <t>Option</t>
  </si>
  <si>
    <t>Start Date</t>
  </si>
  <si>
    <t>End Date</t>
  </si>
  <si>
    <t>Account No.</t>
  </si>
  <si>
    <t>Account Type</t>
  </si>
  <si>
    <t>Indentation</t>
  </si>
  <si>
    <t>Name</t>
  </si>
  <si>
    <t>Budget</t>
  </si>
  <si>
    <t>Budget Name</t>
  </si>
  <si>
    <t>Variance</t>
  </si>
  <si>
    <t>%</t>
  </si>
  <si>
    <t>Hide</t>
  </si>
  <si>
    <t>Fit</t>
  </si>
  <si>
    <t>Hide+?</t>
  </si>
  <si>
    <t>Heading</t>
  </si>
  <si>
    <t>General Ledger Budget to Actual by Period</t>
  </si>
  <si>
    <t>Actual</t>
  </si>
  <si>
    <t>Period Type</t>
  </si>
  <si>
    <t>Month</t>
  </si>
  <si>
    <t>=NP("DateFilter",StartDate,EndDate)</t>
  </si>
  <si>
    <t>=NL("Lookup",{"Day","Week","Month","Quarter","Year"},"Period Type")</t>
  </si>
  <si>
    <t>=NL("Columns=5",NP("Dates",StartDate,EndDate,PeriodType))</t>
  </si>
  <si>
    <t>=OR(AccountType="Heading",AccountType="Begin-Total")</t>
  </si>
  <si>
    <t>Fit+Auto</t>
  </si>
  <si>
    <t>Auto</t>
  </si>
  <si>
    <t>Date Filter:</t>
  </si>
  <si>
    <t>Run Date:</t>
  </si>
  <si>
    <t>=NP("Eval","=Today()")</t>
  </si>
  <si>
    <t>Period Ending</t>
  </si>
  <si>
    <t>Hide accounts with zero balance and activity?</t>
  </si>
  <si>
    <t>=NL("Lookup","15 G/L Account",{"1 No.","2 Name"},"9 Income/Balance","Income Statement")</t>
  </si>
  <si>
    <t>=NL("Lookup","95 G/L Budget Name",{"1 Name"})</t>
  </si>
  <si>
    <t>=NL("Lookup",{"Yes","No"},"Hide accounts with zero balance and activity?")</t>
  </si>
  <si>
    <t>=NL(,"79 Company Information","2 Name")</t>
  </si>
  <si>
    <t>=NL("Rows","15 G/L Account",,"1 No.",GLAccountNo,"28 Date Filter",DateFilter)</t>
  </si>
  <si>
    <t>Period Type:</t>
  </si>
  <si>
    <t>=PeriodType</t>
  </si>
  <si>
    <t>Auto+Hide+Values</t>
  </si>
  <si>
    <t xml:space="preserve">Report Readme </t>
  </si>
  <si>
    <t>About the report</t>
  </si>
  <si>
    <t>Version of Jet</t>
  </si>
  <si>
    <t>Services</t>
  </si>
  <si>
    <t>Training</t>
  </si>
  <si>
    <t>Sales</t>
  </si>
  <si>
    <t>Copyrights</t>
  </si>
  <si>
    <t>Totaling</t>
  </si>
  <si>
    <t>="Yes"</t>
  </si>
  <si>
    <t>="60000..70000"</t>
  </si>
  <si>
    <t>=K8</t>
  </si>
  <si>
    <t>=NL(,NP("Dates",K8,"12/30/2050",PeriodType,TRUE))</t>
  </si>
  <si>
    <t>=K9</t>
  </si>
  <si>
    <t>=IF(AND(Heading=FALSE,BlankZero="Yes",MIN(K12:Q12)=0,MAX(K12:Q12)=0),"Hide","Show")</t>
  </si>
  <si>
    <t>=NF($D12,"4 Account Type")</t>
  </si>
  <si>
    <t>=NF($D12,"19 Indentation")</t>
  </si>
  <si>
    <t>=IF(E12="Posting",NF(D12,"1 No."),IF(OR(E12="Total",E12="End-Total"),NF(D12,"34 Totaling"),"0"))</t>
  </si>
  <si>
    <t>=REPT(" ",G12*5) &amp; NF($D12,$I$11)</t>
  </si>
  <si>
    <t>=GL("Budget",$H12,ColumnStartDate,ColumnEndDate,,,,,,,BudgetName)</t>
  </si>
  <si>
    <t>=GL("Balance",$H12,ColumnStartDate,ColumnEndDate)</t>
  </si>
  <si>
    <t>=K12-L12</t>
  </si>
  <si>
    <t>=IF(K12=0,"",ROUND((M12/K12),2))</t>
  </si>
  <si>
    <t>=P8</t>
  </si>
  <si>
    <t>=U8</t>
  </si>
  <si>
    <t>=NL(,NP("Dates",P8,"12/30/2050",PeriodType,TRUE))</t>
  </si>
  <si>
    <t>=P9</t>
  </si>
  <si>
    <t>=NL(,NP("Dates",U8,"12/30/2050",PeriodType,TRUE))</t>
  </si>
  <si>
    <t>=U9</t>
  </si>
  <si>
    <t>=P12-Q12</t>
  </si>
  <si>
    <t>=IF(P12=0,"",ROUND((R12/P12),2))</t>
  </si>
  <si>
    <t>=U12-V12</t>
  </si>
  <si>
    <t>=IF(U12=0,"",ROUND((W12/U12),2))</t>
  </si>
  <si>
    <t>=IF(E13="Posting",NF(D13,"1 No."),IF(OR(E13="Total",E13="End-Total"),NF(D13,"34 Totaling"),"0"))</t>
  </si>
  <si>
    <t>=REPT(" ",G13*5) &amp; NF($D13,$I$11)</t>
  </si>
  <si>
    <t>=GL("Budget",$H13,ColumnStartDate,ColumnEndDate,,,,,,,BudgetName)</t>
  </si>
  <si>
    <t>=GL("Balance",$H13,ColumnStartDate,ColumnEndDate)</t>
  </si>
  <si>
    <t>=K13-L13</t>
  </si>
  <si>
    <t>=IF(K13=0,"",ROUND((M13/K13),2))</t>
  </si>
  <si>
    <t>=P13-Q13</t>
  </si>
  <si>
    <t>=IF(P13=0,"",ROUND((R13/P13),2))</t>
  </si>
  <si>
    <t>=U13-V13</t>
  </si>
  <si>
    <t>=IF(U13=0,"",ROUND((W13/U13),2))</t>
  </si>
  <si>
    <t>=IF(E14="Posting",NF(D14,"1 No."),IF(OR(E14="Total",E14="End-Total"),NF(D14,"34 Totaling"),"0"))</t>
  </si>
  <si>
    <t>=REPT(" ",G14*5) &amp; NF($D14,$I$11)</t>
  </si>
  <si>
    <t>=GL("Budget",$H14,ColumnStartDate,ColumnEndDate,,,,,,,BudgetName)</t>
  </si>
  <si>
    <t>=GL("Balance",$H14,ColumnStartDate,ColumnEndDate)</t>
  </si>
  <si>
    <t>=K14-L14</t>
  </si>
  <si>
    <t>=IF(K14=0,"",ROUND((M14/K14),2))</t>
  </si>
  <si>
    <t>=P14-Q14</t>
  </si>
  <si>
    <t>=IF(P14=0,"",ROUND((R14/P14),2))</t>
  </si>
  <si>
    <t>=U14-V14</t>
  </si>
  <si>
    <t>=IF(U14=0,"",ROUND((W14/U14),2))</t>
  </si>
  <si>
    <t>=IF(E15="Posting",NF(D15,"1 No."),IF(OR(E15="Total",E15="End-Total"),NF(D15,"34 Totaling"),"0"))</t>
  </si>
  <si>
    <t>=REPT(" ",G15*5) &amp; NF($D15,$I$11)</t>
  </si>
  <si>
    <t>=GL("Budget",$H15,ColumnStartDate,ColumnEndDate,,,,,,,BudgetName)</t>
  </si>
  <si>
    <t>=GL("Balance",$H15,ColumnStartDate,ColumnEndDate)</t>
  </si>
  <si>
    <t>=K15-L15</t>
  </si>
  <si>
    <t>=IF(K15=0,"",ROUND((M15/K15),2))</t>
  </si>
  <si>
    <t>=P15-Q15</t>
  </si>
  <si>
    <t>=IF(P15=0,"",ROUND((R15/P15),2))</t>
  </si>
  <si>
    <t>=U15-V15</t>
  </si>
  <si>
    <t>=IF(U15=0,"",ROUND((W15/U15),2))</t>
  </si>
  <si>
    <t>=IF(E16="Posting",NF(D16,"1 No."),IF(OR(E16="Total",E16="End-Total"),NF(D16,"34 Totaling"),"0"))</t>
  </si>
  <si>
    <t>=REPT(" ",G16*5) &amp; NF($D16,$I$11)</t>
  </si>
  <si>
    <t>=GL("Budget",$H16,ColumnStartDate,ColumnEndDate,,,,,,,BudgetName)</t>
  </si>
  <si>
    <t>=GL("Balance",$H16,ColumnStartDate,ColumnEndDate)</t>
  </si>
  <si>
    <t>=K16-L16</t>
  </si>
  <si>
    <t>=IF(K16=0,"",ROUND((M16/K16),2))</t>
  </si>
  <si>
    <t>=P16-Q16</t>
  </si>
  <si>
    <t>=IF(P16=0,"",ROUND((R16/P16),2))</t>
  </si>
  <si>
    <t>=U16-V16</t>
  </si>
  <si>
    <t>=IF(U16=0,"",ROUND((W16/U16),2))</t>
  </si>
  <si>
    <t>=IF(E17="Posting",NF(D17,"1 No."),IF(OR(E17="Total",E17="End-Total"),NF(D17,"34 Totaling"),"0"))</t>
  </si>
  <si>
    <t>=REPT(" ",G17*5) &amp; NF($D17,$I$11)</t>
  </si>
  <si>
    <t>=GL("Budget",$H17,ColumnStartDate,ColumnEndDate,,,,,,,BudgetName)</t>
  </si>
  <si>
    <t>=GL("Balance",$H17,ColumnStartDate,ColumnEndDate)</t>
  </si>
  <si>
    <t>=K17-L17</t>
  </si>
  <si>
    <t>=IF(K17=0,"",ROUND((M17/K17),2))</t>
  </si>
  <si>
    <t>=P17-Q17</t>
  </si>
  <si>
    <t>=IF(P17=0,"",ROUND((R17/P17),2))</t>
  </si>
  <si>
    <t>=U17-V17</t>
  </si>
  <si>
    <t>=IF(U17=0,"",ROUND((W17/U17),2))</t>
  </si>
  <si>
    <t>=IF(E18="Posting",NF(D18,"1 No."),IF(OR(E18="Total",E18="End-Total"),NF(D18,"34 Totaling"),"0"))</t>
  </si>
  <si>
    <t>=REPT(" ",G18*5) &amp; NF($D18,$I$11)</t>
  </si>
  <si>
    <t>=GL("Budget",$H18,ColumnStartDate,ColumnEndDate,,,,,,,BudgetName)</t>
  </si>
  <si>
    <t>=GL("Balance",$H18,ColumnStartDate,ColumnEndDate)</t>
  </si>
  <si>
    <t>=K18-L18</t>
  </si>
  <si>
    <t>=IF(K18=0,"",ROUND((M18/K18),2))</t>
  </si>
  <si>
    <t>=P18-Q18</t>
  </si>
  <si>
    <t>=IF(P18=0,"",ROUND((R18/P18),2))</t>
  </si>
  <si>
    <t>=U18-V18</t>
  </si>
  <si>
    <t>=IF(U18=0,"",ROUND((W18/U18),2))</t>
  </si>
  <si>
    <t>=IF(E19="Posting",NF(D19,"1 No."),IF(OR(E19="Total",E19="End-Total"),NF(D19,"34 Totaling"),"0"))</t>
  </si>
  <si>
    <t>=REPT(" ",G19*5) &amp; NF($D19,$I$11)</t>
  </si>
  <si>
    <t>=GL("Budget",$H19,ColumnStartDate,ColumnEndDate,,,,,,,BudgetName)</t>
  </si>
  <si>
    <t>=GL("Balance",$H19,ColumnStartDate,ColumnEndDate)</t>
  </si>
  <si>
    <t>=K19-L19</t>
  </si>
  <si>
    <t>=IF(K19=0,"",ROUND((M19/K19),2))</t>
  </si>
  <si>
    <t>=P19-Q19</t>
  </si>
  <si>
    <t>=IF(P19=0,"",ROUND((R19/P19),2))</t>
  </si>
  <si>
    <t>=U19-V19</t>
  </si>
  <si>
    <t>=IF(U19=0,"",ROUND((W19/U19),2))</t>
  </si>
  <si>
    <t>=IF(E20="Posting",NF(D20,"1 No."),IF(OR(E20="Total",E20="End-Total"),NF(D20,"34 Totaling"),"0"))</t>
  </si>
  <si>
    <t>=REPT(" ",G20*5) &amp; NF($D20,$I$11)</t>
  </si>
  <si>
    <t>=GL("Budget",$H20,ColumnStartDate,ColumnEndDate,,,,,,,BudgetName)</t>
  </si>
  <si>
    <t>=GL("Balance",$H20,ColumnStartDate,ColumnEndDate)</t>
  </si>
  <si>
    <t>=K20-L20</t>
  </si>
  <si>
    <t>=IF(K20=0,"",ROUND((M20/K20),2))</t>
  </si>
  <si>
    <t>=P20-Q20</t>
  </si>
  <si>
    <t>=IF(P20=0,"",ROUND((R20/P20),2))</t>
  </si>
  <si>
    <t>=U20-V20</t>
  </si>
  <si>
    <t>=IF(U20=0,"",ROUND((W20/U20),2))</t>
  </si>
  <si>
    <t>=IF(E21="Posting",NF(D21,"1 No."),IF(OR(E21="Total",E21="End-Total"),NF(D21,"34 Totaling"),"0"))</t>
  </si>
  <si>
    <t>=REPT(" ",G21*5) &amp; NF($D21,$I$11)</t>
  </si>
  <si>
    <t>=GL("Budget",$H21,ColumnStartDate,ColumnEndDate,,,,,,,BudgetName)</t>
  </si>
  <si>
    <t>=GL("Balance",$H21,ColumnStartDate,ColumnEndDate)</t>
  </si>
  <si>
    <t>=K21-L21</t>
  </si>
  <si>
    <t>=IF(K21=0,"",ROUND((M21/K21),2))</t>
  </si>
  <si>
    <t>=P21-Q21</t>
  </si>
  <si>
    <t>=IF(P21=0,"",ROUND((R21/P21),2))</t>
  </si>
  <si>
    <t>=U21-V21</t>
  </si>
  <si>
    <t>=IF(U21=0,"",ROUND((W21/U21),2))</t>
  </si>
  <si>
    <t>=IF(E22="Posting",NF(D22,"1 No."),IF(OR(E22="Total",E22="End-Total"),NF(D22,"34 Totaling"),"0"))</t>
  </si>
  <si>
    <t>=REPT(" ",G22*5) &amp; NF($D22,$I$11)</t>
  </si>
  <si>
    <t>=GL("Budget",$H22,ColumnStartDate,ColumnEndDate,,,,,,,BudgetName)</t>
  </si>
  <si>
    <t>=GL("Balance",$H22,ColumnStartDate,ColumnEndDate)</t>
  </si>
  <si>
    <t>=K22-L22</t>
  </si>
  <si>
    <t>=IF(K22=0,"",ROUND((M22/K22),2))</t>
  </si>
  <si>
    <t>=P22-Q22</t>
  </si>
  <si>
    <t>=IF(P22=0,"",ROUND((R22/P22),2))</t>
  </si>
  <si>
    <t>=U22-V22</t>
  </si>
  <si>
    <t>=IF(U22=0,"",ROUND((W22/U22),2))</t>
  </si>
  <si>
    <t>=IF(E23="Posting",NF(D23,"1 No."),IF(OR(E23="Total",E23="End-Total"),NF(D23,"34 Totaling"),"0"))</t>
  </si>
  <si>
    <t>=REPT(" ",G23*5) &amp; NF($D23,$I$11)</t>
  </si>
  <si>
    <t>=GL("Budget",$H23,ColumnStartDate,ColumnEndDate,,,,,,,BudgetName)</t>
  </si>
  <si>
    <t>=GL("Balance",$H23,ColumnStartDate,ColumnEndDate)</t>
  </si>
  <si>
    <t>=K23-L23</t>
  </si>
  <si>
    <t>=IF(K23=0,"",ROUND((M23/K23),2))</t>
  </si>
  <si>
    <t>=P23-Q23</t>
  </si>
  <si>
    <t>=IF(P23=0,"",ROUND((R23/P23),2))</t>
  </si>
  <si>
    <t>=U23-V23</t>
  </si>
  <si>
    <t>=IF(U23=0,"",ROUND((W23/U23),2))</t>
  </si>
  <si>
    <t>=IF(E24="Posting",NF(D24,"1 No."),IF(OR(E24="Total",E24="End-Total"),NF(D24,"34 Totaling"),"0"))</t>
  </si>
  <si>
    <t>=REPT(" ",G24*5) &amp; NF($D24,$I$11)</t>
  </si>
  <si>
    <t>=GL("Budget",$H24,ColumnStartDate,ColumnEndDate,,,,,,,BudgetName)</t>
  </si>
  <si>
    <t>=GL("Balance",$H24,ColumnStartDate,ColumnEndDate)</t>
  </si>
  <si>
    <t>=K24-L24</t>
  </si>
  <si>
    <t>=IF(K24=0,"",ROUND((M24/K24),2))</t>
  </si>
  <si>
    <t>=P24-Q24</t>
  </si>
  <si>
    <t>=IF(P24=0,"",ROUND((R24/P24),2))</t>
  </si>
  <si>
    <t>=U24-V24</t>
  </si>
  <si>
    <t>=IF(U24=0,"",ROUND((W24/U24),2))</t>
  </si>
  <si>
    <t>=IF(E25="Posting",NF(D25,"1 No."),IF(OR(E25="Total",E25="End-Total"),NF(D25,"34 Totaling"),"0"))</t>
  </si>
  <si>
    <t>=REPT(" ",G25*5) &amp; NF($D25,$I$11)</t>
  </si>
  <si>
    <t>=GL("Budget",$H25,ColumnStartDate,ColumnEndDate,,,,,,,BudgetName)</t>
  </si>
  <si>
    <t>=GL("Balance",$H25,ColumnStartDate,ColumnEndDate)</t>
  </si>
  <si>
    <t>=K25-L25</t>
  </si>
  <si>
    <t>=IF(K25=0,"",ROUND((M25/K25),2))</t>
  </si>
  <si>
    <t>=P25-Q25</t>
  </si>
  <si>
    <t>=IF(P25=0,"",ROUND((R25/P25),2))</t>
  </si>
  <si>
    <t>=U25-V25</t>
  </si>
  <si>
    <t>=IF(U25=0,"",ROUND((W25/U25),2))</t>
  </si>
  <si>
    <t>=IF(E26="Posting",NF(D26,"1 No."),IF(OR(E26="Total",E26="End-Total"),NF(D26,"34 Totaling"),"0"))</t>
  </si>
  <si>
    <t>=REPT(" ",G26*5) &amp; NF($D26,$I$11)</t>
  </si>
  <si>
    <t>=GL("Budget",$H26,ColumnStartDate,ColumnEndDate,,,,,,,BudgetName)</t>
  </si>
  <si>
    <t>=GL("Balance",$H26,ColumnStartDate,ColumnEndDate)</t>
  </si>
  <si>
    <t>=K26-L26</t>
  </si>
  <si>
    <t>=IF(K26=0,"",ROUND((M26/K26),2))</t>
  </si>
  <si>
    <t>=P26-Q26</t>
  </si>
  <si>
    <t>=IF(P26=0,"",ROUND((R26/P26),2))</t>
  </si>
  <si>
    <t>=U26-V26</t>
  </si>
  <si>
    <t>=IF(U26=0,"",ROUND((W26/U26),2))</t>
  </si>
  <si>
    <t>=IF(E27="Posting",NF(D27,"1 No."),IF(OR(E27="Total",E27="End-Total"),NF(D27,"34 Totaling"),"0"))</t>
  </si>
  <si>
    <t>=REPT(" ",G27*5) &amp; NF($D27,$I$11)</t>
  </si>
  <si>
    <t>=GL("Budget",$H27,ColumnStartDate,ColumnEndDate,,,,,,,BudgetName)</t>
  </si>
  <si>
    <t>=GL("Balance",$H27,ColumnStartDate,ColumnEndDate)</t>
  </si>
  <si>
    <t>=K27-L27</t>
  </si>
  <si>
    <t>=IF(K27=0,"",ROUND((M27/K27),2))</t>
  </si>
  <si>
    <t>=P27-Q27</t>
  </si>
  <si>
    <t>=IF(P27=0,"",ROUND((R27/P27),2))</t>
  </si>
  <si>
    <t>=U27-V27</t>
  </si>
  <si>
    <t>=IF(U27=0,"",ROUND((W27/U27),2))</t>
  </si>
  <si>
    <t>=IF(E28="Posting",NF(D28,"1 No."),IF(OR(E28="Total",E28="End-Total"),NF(D28,"34 Totaling"),"0"))</t>
  </si>
  <si>
    <t>=REPT(" ",G28*5) &amp; NF($D28,$I$11)</t>
  </si>
  <si>
    <t>=GL("Budget",$H28,ColumnStartDate,ColumnEndDate,,,,,,,BudgetName)</t>
  </si>
  <si>
    <t>=GL("Balance",$H28,ColumnStartDate,ColumnEndDate)</t>
  </si>
  <si>
    <t>=K28-L28</t>
  </si>
  <si>
    <t>=IF(K28=0,"",ROUND((M28/K28),2))</t>
  </si>
  <si>
    <t>=P28-Q28</t>
  </si>
  <si>
    <t>=IF(P28=0,"",ROUND((R28/P28),2))</t>
  </si>
  <si>
    <t>=U28-V28</t>
  </si>
  <si>
    <t>=IF(U28=0,"",ROUND((W28/U28),2))</t>
  </si>
  <si>
    <t>=IF(E29="Posting",NF(D29,"1 No."),IF(OR(E29="Total",E29="End-Total"),NF(D29,"34 Totaling"),"0"))</t>
  </si>
  <si>
    <t>=REPT(" ",G29*5) &amp; NF($D29,$I$11)</t>
  </si>
  <si>
    <t>=GL("Budget",$H29,ColumnStartDate,ColumnEndDate,,,,,,,BudgetName)</t>
  </si>
  <si>
    <t>=GL("Balance",$H29,ColumnStartDate,ColumnEndDate)</t>
  </si>
  <si>
    <t>=K29-L29</t>
  </si>
  <si>
    <t>=IF(K29=0,"",ROUND((M29/K29),2))</t>
  </si>
  <si>
    <t>=P29-Q29</t>
  </si>
  <si>
    <t>=IF(P29=0,"",ROUND((R29/P29),2))</t>
  </si>
  <si>
    <t>=U29-V29</t>
  </si>
  <si>
    <t>=IF(U29=0,"",ROUND((W29/U29),2))</t>
  </si>
  <si>
    <t>=IF(E30="Posting",NF(D30,"1 No."),IF(OR(E30="Total",E30="End-Total"),NF(D30,"34 Totaling"),"0"))</t>
  </si>
  <si>
    <t>=REPT(" ",G30*5) &amp; NF($D30,$I$11)</t>
  </si>
  <si>
    <t>=GL("Budget",$H30,ColumnStartDate,ColumnEndDate,,,,,,,BudgetName)</t>
  </si>
  <si>
    <t>=GL("Balance",$H30,ColumnStartDate,ColumnEndDate)</t>
  </si>
  <si>
    <t>=K30-L30</t>
  </si>
  <si>
    <t>=IF(K30=0,"",ROUND((M30/K30),2))</t>
  </si>
  <si>
    <t>=P30-Q30</t>
  </si>
  <si>
    <t>=IF(P30=0,"",ROUND((R30/P30),2))</t>
  </si>
  <si>
    <t>=U30-V30</t>
  </si>
  <si>
    <t>=IF(U30=0,"",ROUND((W30/U30),2))</t>
  </si>
  <si>
    <t>=IF(E31="Posting",NF(D31,"1 No."),IF(OR(E31="Total",E31="End-Total"),NF(D31,"34 Totaling"),"0"))</t>
  </si>
  <si>
    <t>=REPT(" ",G31*5) &amp; NF($D31,$I$11)</t>
  </si>
  <si>
    <t>=GL("Budget",$H31,ColumnStartDate,ColumnEndDate,,,,,,,BudgetName)</t>
  </si>
  <si>
    <t>=GL("Balance",$H31,ColumnStartDate,ColumnEndDate)</t>
  </si>
  <si>
    <t>=K31-L31</t>
  </si>
  <si>
    <t>=IF(K31=0,"",ROUND((M31/K31),2))</t>
  </si>
  <si>
    <t>=P31-Q31</t>
  </si>
  <si>
    <t>=IF(P31=0,"",ROUND((R31/P31),2))</t>
  </si>
  <si>
    <t>=U31-V31</t>
  </si>
  <si>
    <t>=IF(U31=0,"",ROUND((W31/U31),2))</t>
  </si>
  <si>
    <t>=IF(E32="Posting",NF(D32,"1 No."),IF(OR(E32="Total",E32="End-Total"),NF(D32,"34 Totaling"),"0"))</t>
  </si>
  <si>
    <t>=REPT(" ",G32*5) &amp; NF($D32,$I$11)</t>
  </si>
  <si>
    <t>=GL("Budget",$H32,ColumnStartDate,ColumnEndDate,,,,,,,BudgetName)</t>
  </si>
  <si>
    <t>=GL("Balance",$H32,ColumnStartDate,ColumnEndDate)</t>
  </si>
  <si>
    <t>=K32-L32</t>
  </si>
  <si>
    <t>=IF(K32=0,"",ROUND((M32/K32),2))</t>
  </si>
  <si>
    <t>=P32-Q32</t>
  </si>
  <si>
    <t>=IF(P32=0,"",ROUND((R32/P32),2))</t>
  </si>
  <si>
    <t>=U32-V32</t>
  </si>
  <si>
    <t>=IF(U32=0,"",ROUND((W32/U32),2))</t>
  </si>
  <si>
    <t>=IF(E33="Posting",NF(D33,"1 No."),IF(OR(E33="Total",E33="End-Total"),NF(D33,"34 Totaling"),"0"))</t>
  </si>
  <si>
    <t>=REPT(" ",G33*5) &amp; NF($D33,$I$11)</t>
  </si>
  <si>
    <t>=GL("Budget",$H33,ColumnStartDate,ColumnEndDate,,,,,,,BudgetName)</t>
  </si>
  <si>
    <t>=GL("Balance",$H33,ColumnStartDate,ColumnEndDate)</t>
  </si>
  <si>
    <t>=K33-L33</t>
  </si>
  <si>
    <t>=IF(K33=0,"",ROUND((M33/K33),2))</t>
  </si>
  <si>
    <t>=P33-Q33</t>
  </si>
  <si>
    <t>=IF(P33=0,"",ROUND((R33/P33),2))</t>
  </si>
  <si>
    <t>=U33-V33</t>
  </si>
  <si>
    <t>=IF(U33=0,"",ROUND((W33/U33),2))</t>
  </si>
  <si>
    <t>=IF(E34="Posting",NF(D34,"1 No."),IF(OR(E34="Total",E34="End-Total"),NF(D34,"34 Totaling"),"0"))</t>
  </si>
  <si>
    <t>=REPT(" ",G34*5) &amp; NF($D34,$I$11)</t>
  </si>
  <si>
    <t>=GL("Budget",$H34,ColumnStartDate,ColumnEndDate,,,,,,,BudgetName)</t>
  </si>
  <si>
    <t>=GL("Balance",$H34,ColumnStartDate,ColumnEndDate)</t>
  </si>
  <si>
    <t>=K34-L34</t>
  </si>
  <si>
    <t>=IF(K34=0,"",ROUND((M34/K34),2))</t>
  </si>
  <si>
    <t>=P34-Q34</t>
  </si>
  <si>
    <t>=IF(P34=0,"",ROUND((R34/P34),2))</t>
  </si>
  <si>
    <t>=U34-V34</t>
  </si>
  <si>
    <t>=IF(U34=0,"",ROUND((W34/U34),2))</t>
  </si>
  <si>
    <t>=IF(E35="Posting",NF(D35,"1 No."),IF(OR(E35="Total",E35="End-Total"),NF(D35,"34 Totaling"),"0"))</t>
  </si>
  <si>
    <t>=REPT(" ",G35*5) &amp; NF($D35,$I$11)</t>
  </si>
  <si>
    <t>=GL("Budget",$H35,ColumnStartDate,ColumnEndDate,,,,,,,BudgetName)</t>
  </si>
  <si>
    <t>=GL("Balance",$H35,ColumnStartDate,ColumnEndDate)</t>
  </si>
  <si>
    <t>=K35-L35</t>
  </si>
  <si>
    <t>=IF(K35=0,"",ROUND((M35/K35),2))</t>
  </si>
  <si>
    <t>=P35-Q35</t>
  </si>
  <si>
    <t>=IF(P35=0,"",ROUND((R35/P35),2))</t>
  </si>
  <si>
    <t>=U35-V35</t>
  </si>
  <si>
    <t>=IF(U35=0,"",ROUND((W35/U35),2))</t>
  </si>
  <si>
    <t>=IF(E36="Posting",NF(D36,"1 No."),IF(OR(E36="Total",E36="End-Total"),NF(D36,"34 Totaling"),"0"))</t>
  </si>
  <si>
    <t>=REPT(" ",G36*5) &amp; NF($D36,$I$11)</t>
  </si>
  <si>
    <t>=GL("Budget",$H36,ColumnStartDate,ColumnEndDate,,,,,,,BudgetName)</t>
  </si>
  <si>
    <t>=GL("Balance",$H36,ColumnStartDate,ColumnEndDate)</t>
  </si>
  <si>
    <t>=K36-L36</t>
  </si>
  <si>
    <t>=IF(K36=0,"",ROUND((M36/K36),2))</t>
  </si>
  <si>
    <t>=P36-Q36</t>
  </si>
  <si>
    <t>=IF(P36=0,"",ROUND((R36/P36),2))</t>
  </si>
  <si>
    <t>=U36-V36</t>
  </si>
  <si>
    <t>=IF(U36=0,"",ROUND((W36/U36),2))</t>
  </si>
  <si>
    <t>=IF(E37="Posting",NF(D37,"1 No."),IF(OR(E37="Total",E37="End-Total"),NF(D37,"34 Totaling"),"0"))</t>
  </si>
  <si>
    <t>=REPT(" ",G37*5) &amp; NF($D37,$I$11)</t>
  </si>
  <si>
    <t>=GL("Budget",$H37,ColumnStartDate,ColumnEndDate,,,,,,,BudgetName)</t>
  </si>
  <si>
    <t>=GL("Balance",$H37,ColumnStartDate,ColumnEndDate)</t>
  </si>
  <si>
    <t>=K37-L37</t>
  </si>
  <si>
    <t>=IF(K37=0,"",ROUND((M37/K37),2))</t>
  </si>
  <si>
    <t>=P37-Q37</t>
  </si>
  <si>
    <t>=IF(P37=0,"",ROUND((R37/P37),2))</t>
  </si>
  <si>
    <t>=U37-V37</t>
  </si>
  <si>
    <t>=IF(U37=0,"",ROUND((W37/U37),2))</t>
  </si>
  <si>
    <t>=IF(E38="Posting",NF(D38,"1 No."),IF(OR(E38="Total",E38="End-Total"),NF(D38,"34 Totaling"),"0"))</t>
  </si>
  <si>
    <t>=REPT(" ",G38*5) &amp; NF($D38,$I$11)</t>
  </si>
  <si>
    <t>=GL("Budget",$H38,ColumnStartDate,ColumnEndDate,,,,,,,BudgetName)</t>
  </si>
  <si>
    <t>=GL("Balance",$H38,ColumnStartDate,ColumnEndDate)</t>
  </si>
  <si>
    <t>=K38-L38</t>
  </si>
  <si>
    <t>=IF(K38=0,"",ROUND((M38/K38),2))</t>
  </si>
  <si>
    <t>=P38-Q38</t>
  </si>
  <si>
    <t>=IF(P38=0,"",ROUND((R38/P38),2))</t>
  </si>
  <si>
    <t>=U38-V38</t>
  </si>
  <si>
    <t>=IF(U38=0,"",ROUND((W38/U38),2))</t>
  </si>
  <si>
    <t>=IF(E39="Posting",NF(D39,"1 No."),IF(OR(E39="Total",E39="End-Total"),NF(D39,"34 Totaling"),"0"))</t>
  </si>
  <si>
    <t>=REPT(" ",G39*5) &amp; NF($D39,$I$11)</t>
  </si>
  <si>
    <t>=GL("Budget",$H39,ColumnStartDate,ColumnEndDate,,,,,,,BudgetName)</t>
  </si>
  <si>
    <t>=GL("Balance",$H39,ColumnStartDate,ColumnEndDate)</t>
  </si>
  <si>
    <t>=K39-L39</t>
  </si>
  <si>
    <t>=IF(K39=0,"",ROUND((M39/K39),2))</t>
  </si>
  <si>
    <t>=P39-Q39</t>
  </si>
  <si>
    <t>=IF(P39=0,"",ROUND((R39/P39),2))</t>
  </si>
  <si>
    <t>=U39-V39</t>
  </si>
  <si>
    <t>=IF(U39=0,"",ROUND((W39/U39),2))</t>
  </si>
  <si>
    <t>=IF(E40="Posting",NF(D40,"1 No."),IF(OR(E40="Total",E40="End-Total"),NF(D40,"34 Totaling"),"0"))</t>
  </si>
  <si>
    <t>=REPT(" ",G40*5) &amp; NF($D40,$I$11)</t>
  </si>
  <si>
    <t>=GL("Budget",$H40,ColumnStartDate,ColumnEndDate,,,,,,,BudgetName)</t>
  </si>
  <si>
    <t>=GL("Balance",$H40,ColumnStartDate,ColumnEndDate)</t>
  </si>
  <si>
    <t>=K40-L40</t>
  </si>
  <si>
    <t>=IF(K40=0,"",ROUND((M40/K40),2))</t>
  </si>
  <si>
    <t>=P40-Q40</t>
  </si>
  <si>
    <t>=IF(P40=0,"",ROUND((R40/P40),2))</t>
  </si>
  <si>
    <t>=U40-V40</t>
  </si>
  <si>
    <t>=IF(U40=0,"",ROUND((W40/U40),2))</t>
  </si>
  <si>
    <t>=IF(E41="Posting",NF(D41,"1 No."),IF(OR(E41="Total",E41="End-Total"),NF(D41,"34 Totaling"),"0"))</t>
  </si>
  <si>
    <t>=REPT(" ",G41*5) &amp; NF($D41,$I$11)</t>
  </si>
  <si>
    <t>=GL("Budget",$H41,ColumnStartDate,ColumnEndDate,,,,,,,BudgetName)</t>
  </si>
  <si>
    <t>=GL("Balance",$H41,ColumnStartDate,ColumnEndDate)</t>
  </si>
  <si>
    <t>=K41-L41</t>
  </si>
  <si>
    <t>=IF(K41=0,"",ROUND((M41/K41),2))</t>
  </si>
  <si>
    <t>=P41-Q41</t>
  </si>
  <si>
    <t>=IF(P41=0,"",ROUND((R41/P41),2))</t>
  </si>
  <si>
    <t>=U41-V41</t>
  </si>
  <si>
    <t>=IF(U41=0,"",ROUND((W41/U41),2))</t>
  </si>
  <si>
    <t>=IF(E42="Posting",NF(D42,"1 No."),IF(OR(E42="Total",E42="End-Total"),NF(D42,"34 Totaling"),"0"))</t>
  </si>
  <si>
    <t>=REPT(" ",G42*5) &amp; NF($D42,$I$11)</t>
  </si>
  <si>
    <t>=GL("Budget",$H42,ColumnStartDate,ColumnEndDate,,,,,,,BudgetName)</t>
  </si>
  <si>
    <t>=GL("Balance",$H42,ColumnStartDate,ColumnEndDate)</t>
  </si>
  <si>
    <t>=K42-L42</t>
  </si>
  <si>
    <t>=IF(K42=0,"",ROUND((M42/K42),2))</t>
  </si>
  <si>
    <t>=P42-Q42</t>
  </si>
  <si>
    <t>=IF(P42=0,"",ROUND((R42/P42),2))</t>
  </si>
  <si>
    <t>=U42-V42</t>
  </si>
  <si>
    <t>=IF(U42=0,"",ROUND((W42/U42),2))</t>
  </si>
  <si>
    <t>=IF(E43="Posting",NF(D43,"1 No."),IF(OR(E43="Total",E43="End-Total"),NF(D43,"34 Totaling"),"0"))</t>
  </si>
  <si>
    <t>=REPT(" ",G43*5) &amp; NF($D43,$I$11)</t>
  </si>
  <si>
    <t>=GL("Budget",$H43,ColumnStartDate,ColumnEndDate,,,,,,,BudgetName)</t>
  </si>
  <si>
    <t>=GL("Balance",$H43,ColumnStartDate,ColumnEndDate)</t>
  </si>
  <si>
    <t>=K43-L43</t>
  </si>
  <si>
    <t>=IF(K43=0,"",ROUND((M43/K43),2))</t>
  </si>
  <si>
    <t>=P43-Q43</t>
  </si>
  <si>
    <t>=IF(P43=0,"",ROUND((R43/P43),2))</t>
  </si>
  <si>
    <t>=U43-V43</t>
  </si>
  <si>
    <t>=IF(U43=0,"",ROUND((W43/U43),2))</t>
  </si>
  <si>
    <t>=IF(E44="Posting",NF(D44,"1 No."),IF(OR(E44="Total",E44="End-Total"),NF(D44,"34 Totaling"),"0"))</t>
  </si>
  <si>
    <t>=REPT(" ",G44*5) &amp; NF($D44,$I$11)</t>
  </si>
  <si>
    <t>=GL("Budget",$H44,ColumnStartDate,ColumnEndDate,,,,,,,BudgetName)</t>
  </si>
  <si>
    <t>=GL("Balance",$H44,ColumnStartDate,ColumnEndDate)</t>
  </si>
  <si>
    <t>=K44-L44</t>
  </si>
  <si>
    <t>=IF(K44=0,"",ROUND((M44/K44),2))</t>
  </si>
  <si>
    <t>=P44-Q44</t>
  </si>
  <si>
    <t>=IF(P44=0,"",ROUND((R44/P44),2))</t>
  </si>
  <si>
    <t>=U44-V44</t>
  </si>
  <si>
    <t>=IF(U44=0,"",ROUND((W44/U44),2))</t>
  </si>
  <si>
    <t>=IF(E45="Posting",NF(D45,"1 No."),IF(OR(E45="Total",E45="End-Total"),NF(D45,"34 Totaling"),"0"))</t>
  </si>
  <si>
    <t>=REPT(" ",G45*5) &amp; NF($D45,$I$11)</t>
  </si>
  <si>
    <t>=GL("Budget",$H45,ColumnStartDate,ColumnEndDate,,,,,,,BudgetName)</t>
  </si>
  <si>
    <t>=GL("Balance",$H45,ColumnStartDate,ColumnEndDate)</t>
  </si>
  <si>
    <t>=K45-L45</t>
  </si>
  <si>
    <t>=IF(K45=0,"",ROUND((M45/K45),2))</t>
  </si>
  <si>
    <t>=P45-Q45</t>
  </si>
  <si>
    <t>=IF(P45=0,"",ROUND((R45/P45),2))</t>
  </si>
  <si>
    <t>=U45-V45</t>
  </si>
  <si>
    <t>=IF(U45=0,"",ROUND((W45/U45),2))</t>
  </si>
  <si>
    <t>=IF(E46="Posting",NF(D46,"1 No."),IF(OR(E46="Total",E46="End-Total"),NF(D46,"34 Totaling"),"0"))</t>
  </si>
  <si>
    <t>=REPT(" ",G46*5) &amp; NF($D46,$I$11)</t>
  </si>
  <si>
    <t>=GL("Budget",$H46,ColumnStartDate,ColumnEndDate,,,,,,,BudgetName)</t>
  </si>
  <si>
    <t>=GL("Balance",$H46,ColumnStartDate,ColumnEndDate)</t>
  </si>
  <si>
    <t>=K46-L46</t>
  </si>
  <si>
    <t>=IF(K46=0,"",ROUND((M46/K46),2))</t>
  </si>
  <si>
    <t>=P46-Q46</t>
  </si>
  <si>
    <t>=IF(P46=0,"",ROUND((R46/P46),2))</t>
  </si>
  <si>
    <t>=U46-V46</t>
  </si>
  <si>
    <t>=IF(U46=0,"",ROUND((W46/U46),2))</t>
  </si>
  <si>
    <t>=IF(E47="Posting",NF(D47,"1 No."),IF(OR(E47="Total",E47="End-Total"),NF(D47,"34 Totaling"),"0"))</t>
  </si>
  <si>
    <t>=REPT(" ",G47*5) &amp; NF($D47,$I$11)</t>
  </si>
  <si>
    <t>=GL("Budget",$H47,ColumnStartDate,ColumnEndDate,,,,,,,BudgetName)</t>
  </si>
  <si>
    <t>=GL("Balance",$H47,ColumnStartDate,ColumnEndDate)</t>
  </si>
  <si>
    <t>=K47-L47</t>
  </si>
  <si>
    <t>=IF(K47=0,"",ROUND((M47/K47),2))</t>
  </si>
  <si>
    <t>=P47-Q47</t>
  </si>
  <si>
    <t>=IF(P47=0,"",ROUND((R47/P47),2))</t>
  </si>
  <si>
    <t>=U47-V47</t>
  </si>
  <si>
    <t>=IF(U47=0,"",ROUND((W47/U47),2))</t>
  </si>
  <si>
    <t>=IF(E48="Posting",NF(D48,"1 No."),IF(OR(E48="Total",E48="End-Total"),NF(D48,"34 Totaling"),"0"))</t>
  </si>
  <si>
    <t>=REPT(" ",G48*5) &amp; NF($D48,$I$11)</t>
  </si>
  <si>
    <t>=GL("Budget",$H48,ColumnStartDate,ColumnEndDate,,,,,,,BudgetName)</t>
  </si>
  <si>
    <t>=GL("Balance",$H48,ColumnStartDate,ColumnEndDate)</t>
  </si>
  <si>
    <t>=K48-L48</t>
  </si>
  <si>
    <t>=IF(K48=0,"",ROUND((M48/K48),2))</t>
  </si>
  <si>
    <t>=P48-Q48</t>
  </si>
  <si>
    <t>=IF(P48=0,"",ROUND((R48/P48),2))</t>
  </si>
  <si>
    <t>=U48-V48</t>
  </si>
  <si>
    <t>=IF(U48=0,"",ROUND((W48/U48),2))</t>
  </si>
  <si>
    <t>=IF(E49="Posting",NF(D49,"1 No."),IF(OR(E49="Total",E49="End-Total"),NF(D49,"34 Totaling"),"0"))</t>
  </si>
  <si>
    <t>=REPT(" ",G49*5) &amp; NF($D49,$I$11)</t>
  </si>
  <si>
    <t>=GL("Budget",$H49,ColumnStartDate,ColumnEndDate,,,,,,,BudgetName)</t>
  </si>
  <si>
    <t>=GL("Balance",$H49,ColumnStartDate,ColumnEndDate)</t>
  </si>
  <si>
    <t>=K49-L49</t>
  </si>
  <si>
    <t>=IF(K49=0,"",ROUND((M49/K49),2))</t>
  </si>
  <si>
    <t>=P49-Q49</t>
  </si>
  <si>
    <t>=IF(P49=0,"",ROUND((R49/P49),2))</t>
  </si>
  <si>
    <t>=U49-V49</t>
  </si>
  <si>
    <t>=IF(U49=0,"",ROUND((W49/U49),2))</t>
  </si>
  <si>
    <t>=IF(E50="Posting",NF(D50,"1 No."),IF(OR(E50="Total",E50="End-Total"),NF(D50,"34 Totaling"),"0"))</t>
  </si>
  <si>
    <t>=REPT(" ",G50*5) &amp; NF($D50,$I$11)</t>
  </si>
  <si>
    <t>=GL("Budget",$H50,ColumnStartDate,ColumnEndDate,,,,,,,BudgetName)</t>
  </si>
  <si>
    <t>=GL("Balance",$H50,ColumnStartDate,ColumnEndDate)</t>
  </si>
  <si>
    <t>=K50-L50</t>
  </si>
  <si>
    <t>=IF(K50=0,"",ROUND((M50/K50),2))</t>
  </si>
  <si>
    <t>=P50-Q50</t>
  </si>
  <si>
    <t>=IF(P50=0,"",ROUND((R50/P50),2))</t>
  </si>
  <si>
    <t>=U50-V50</t>
  </si>
  <si>
    <t>=IF(U50=0,"",ROUND((W50/U50),2))</t>
  </si>
  <si>
    <t>=IF(E51="Posting",NF(D51,"1 No."),IF(OR(E51="Total",E51="End-Total"),NF(D51,"34 Totaling"),"0"))</t>
  </si>
  <si>
    <t>=REPT(" ",G51*5) &amp; NF($D51,$I$11)</t>
  </si>
  <si>
    <t>=GL("Budget",$H51,ColumnStartDate,ColumnEndDate,,,,,,,BudgetName)</t>
  </si>
  <si>
    <t>=GL("Balance",$H51,ColumnStartDate,ColumnEndDate)</t>
  </si>
  <si>
    <t>=K51-L51</t>
  </si>
  <si>
    <t>=IF(K51=0,"",ROUND((M51/K51),2))</t>
  </si>
  <si>
    <t>=P51-Q51</t>
  </si>
  <si>
    <t>=IF(P51=0,"",ROUND((R51/P51),2))</t>
  </si>
  <si>
    <t>=U51-V51</t>
  </si>
  <si>
    <t>=IF(U51=0,"",ROUND((W51/U51),2))</t>
  </si>
  <si>
    <t>=IF(E52="Posting",NF(D52,"1 No."),IF(OR(E52="Total",E52="End-Total"),NF(D52,"34 Totaling"),"0"))</t>
  </si>
  <si>
    <t>=REPT(" ",G52*5) &amp; NF($D52,$I$11)</t>
  </si>
  <si>
    <t>=GL("Budget",$H52,ColumnStartDate,ColumnEndDate,,,,,,,BudgetName)</t>
  </si>
  <si>
    <t>=GL("Balance",$H52,ColumnStartDate,ColumnEndDate)</t>
  </si>
  <si>
    <t>=K52-L52</t>
  </si>
  <si>
    <t>=IF(K52=0,"",ROUND((M52/K52),2))</t>
  </si>
  <si>
    <t>=P52-Q52</t>
  </si>
  <si>
    <t>=IF(P52=0,"",ROUND((R52/P52),2))</t>
  </si>
  <si>
    <t>=U52-V52</t>
  </si>
  <si>
    <t>=IF(U52=0,"",ROUND((W52/U52),2))</t>
  </si>
  <si>
    <t>=IF(E53="Posting",NF(D53,"1 No."),IF(OR(E53="Total",E53="End-Total"),NF(D53,"34 Totaling"),"0"))</t>
  </si>
  <si>
    <t>=REPT(" ",G53*5) &amp; NF($D53,$I$11)</t>
  </si>
  <si>
    <t>=GL("Budget",$H53,ColumnStartDate,ColumnEndDate,,,,,,,BudgetName)</t>
  </si>
  <si>
    <t>=GL("Balance",$H53,ColumnStartDate,ColumnEndDate)</t>
  </si>
  <si>
    <t>=K53-L53</t>
  </si>
  <si>
    <t>=IF(K53=0,"",ROUND((M53/K53),2))</t>
  </si>
  <si>
    <t>=P53-Q53</t>
  </si>
  <si>
    <t>=IF(P53=0,"",ROUND((R53/P53),2))</t>
  </si>
  <si>
    <t>=U53-V53</t>
  </si>
  <si>
    <t>=IF(U53=0,"",ROUND((W53/U53),2))</t>
  </si>
  <si>
    <t>=IF(E54="Posting",NF(D54,"1 No."),IF(OR(E54="Total",E54="End-Total"),NF(D54,"34 Totaling"),"0"))</t>
  </si>
  <si>
    <t>=REPT(" ",G54*5) &amp; NF($D54,$I$11)</t>
  </si>
  <si>
    <t>=GL("Budget",$H54,ColumnStartDate,ColumnEndDate,,,,,,,BudgetName)</t>
  </si>
  <si>
    <t>=GL("Balance",$H54,ColumnStartDate,ColumnEndDate)</t>
  </si>
  <si>
    <t>=K54-L54</t>
  </si>
  <si>
    <t>=IF(K54=0,"",ROUND((M54/K54),2))</t>
  </si>
  <si>
    <t>=P54-Q54</t>
  </si>
  <si>
    <t>=IF(P54=0,"",ROUND((R54/P54),2))</t>
  </si>
  <si>
    <t>=U54-V54</t>
  </si>
  <si>
    <t>=IF(U54=0,"",ROUND((W54/U54),2))</t>
  </si>
  <si>
    <t>=IF(E55="Posting",NF(D55,"1 No."),IF(OR(E55="Total",E55="End-Total"),NF(D55,"34 Totaling"),"0"))</t>
  </si>
  <si>
    <t>=REPT(" ",G55*5) &amp; NF($D55,$I$11)</t>
  </si>
  <si>
    <t>=GL("Budget",$H55,ColumnStartDate,ColumnEndDate,,,,,,,BudgetName)</t>
  </si>
  <si>
    <t>=GL("Balance",$H55,ColumnStartDate,ColumnEndDate)</t>
  </si>
  <si>
    <t>=K55-L55</t>
  </si>
  <si>
    <t>=IF(K55=0,"",ROUND((M55/K55),2))</t>
  </si>
  <si>
    <t>=P55-Q55</t>
  </si>
  <si>
    <t>=IF(P55=0,"",ROUND((R55/P55),2))</t>
  </si>
  <si>
    <t>=U55-V55</t>
  </si>
  <si>
    <t>=IF(U55=0,"",ROUND((W55/U55),2))</t>
  </si>
  <si>
    <t>=IF(E56="Posting",NF(D56,"1 No."),IF(OR(E56="Total",E56="End-Total"),NF(D56,"34 Totaling"),"0"))</t>
  </si>
  <si>
    <t>=REPT(" ",G56*5) &amp; NF($D56,$I$11)</t>
  </si>
  <si>
    <t>=GL("Budget",$H56,ColumnStartDate,ColumnEndDate,,,,,,,BudgetName)</t>
  </si>
  <si>
    <t>=GL("Balance",$H56,ColumnStartDate,ColumnEndDate)</t>
  </si>
  <si>
    <t>=K56-L56</t>
  </si>
  <si>
    <t>=IF(K56=0,"",ROUND((M56/K56),2))</t>
  </si>
  <si>
    <t>=P56-Q56</t>
  </si>
  <si>
    <t>=IF(P56=0,"",ROUND((R56/P56),2))</t>
  </si>
  <si>
    <t>=U56-V56</t>
  </si>
  <si>
    <t>=IF(U56=0,"",ROUND((W56/U56),2))</t>
  </si>
  <si>
    <t>=IF(E57="Posting",NF(D57,"1 No."),IF(OR(E57="Total",E57="End-Total"),NF(D57,"34 Totaling"),"0"))</t>
  </si>
  <si>
    <t>=REPT(" ",G57*5) &amp; NF($D57,$I$11)</t>
  </si>
  <si>
    <t>=GL("Budget",$H57,ColumnStartDate,ColumnEndDate,,,,,,,BudgetName)</t>
  </si>
  <si>
    <t>=GL("Balance",$H57,ColumnStartDate,ColumnEndDate)</t>
  </si>
  <si>
    <t>=K57-L57</t>
  </si>
  <si>
    <t>=IF(K57=0,"",ROUND((M57/K57),2))</t>
  </si>
  <si>
    <t>=P57-Q57</t>
  </si>
  <si>
    <t>=IF(P57=0,"",ROUND((R57/P57),2))</t>
  </si>
  <si>
    <t>=U57-V57</t>
  </si>
  <si>
    <t>=IF(U57=0,"",ROUND((W57/U57),2))</t>
  </si>
  <si>
    <t>=IF(E58="Posting",NF(D58,"1 No."),IF(OR(E58="Total",E58="End-Total"),NF(D58,"34 Totaling"),"0"))</t>
  </si>
  <si>
    <t>=REPT(" ",G58*5) &amp; NF($D58,$I$11)</t>
  </si>
  <si>
    <t>=GL("Budget",$H58,ColumnStartDate,ColumnEndDate,,,,,,,BudgetName)</t>
  </si>
  <si>
    <t>=GL("Balance",$H58,ColumnStartDate,ColumnEndDate)</t>
  </si>
  <si>
    <t>=K58-L58</t>
  </si>
  <si>
    <t>=IF(K58=0,"",ROUND((M58/K58),2))</t>
  </si>
  <si>
    <t>=P58-Q58</t>
  </si>
  <si>
    <t>=IF(P58=0,"",ROUND((R58/P58),2))</t>
  </si>
  <si>
    <t>=U58-V58</t>
  </si>
  <si>
    <t>=IF(U58=0,"",ROUND((W58/U58),2))</t>
  </si>
  <si>
    <t>=IF(E59="Posting",NF(D59,"1 No."),IF(OR(E59="Total",E59="End-Total"),NF(D59,"34 Totaling"),"0"))</t>
  </si>
  <si>
    <t>=REPT(" ",G59*5) &amp; NF($D59,$I$11)</t>
  </si>
  <si>
    <t>=GL("Budget",$H59,ColumnStartDate,ColumnEndDate,,,,,,,BudgetName)</t>
  </si>
  <si>
    <t>=GL("Balance",$H59,ColumnStartDate,ColumnEndDate)</t>
  </si>
  <si>
    <t>=K59-L59</t>
  </si>
  <si>
    <t>=IF(K59=0,"",ROUND((M59/K59),2))</t>
  </si>
  <si>
    <t>=P59-Q59</t>
  </si>
  <si>
    <t>=IF(P59=0,"",ROUND((R59/P59),2))</t>
  </si>
  <si>
    <t>=U59-V59</t>
  </si>
  <si>
    <t>=IF(U59=0,"",ROUND((W59/U59),2))</t>
  </si>
  <si>
    <t>=IF(E60="Posting",NF(D60,"1 No."),IF(OR(E60="Total",E60="End-Total"),NF(D60,"34 Totaling"),"0"))</t>
  </si>
  <si>
    <t>=REPT(" ",G60*5) &amp; NF($D60,$I$11)</t>
  </si>
  <si>
    <t>=GL("Budget",$H60,ColumnStartDate,ColumnEndDate,,,,,,,BudgetName)</t>
  </si>
  <si>
    <t>=GL("Balance",$H60,ColumnStartDate,ColumnEndDate)</t>
  </si>
  <si>
    <t>=K60-L60</t>
  </si>
  <si>
    <t>=IF(K60=0,"",ROUND((M60/K60),2))</t>
  </si>
  <si>
    <t>=P60-Q60</t>
  </si>
  <si>
    <t>=IF(P60=0,"",ROUND((R60/P60),2))</t>
  </si>
  <si>
    <t>=U60-V60</t>
  </si>
  <si>
    <t>=IF(U60=0,"",ROUND((W60/U60),2))</t>
  </si>
  <si>
    <t>=IF(E61="Posting",NF(D61,"1 No."),IF(OR(E61="Total",E61="End-Total"),NF(D61,"34 Totaling"),"0"))</t>
  </si>
  <si>
    <t>=REPT(" ",G61*5) &amp; NF($D61,$I$11)</t>
  </si>
  <si>
    <t>=GL("Budget",$H61,ColumnStartDate,ColumnEndDate,,,,,,,BudgetName)</t>
  </si>
  <si>
    <t>=GL("Balance",$H61,ColumnStartDate,ColumnEndDate)</t>
  </si>
  <si>
    <t>=K61-L61</t>
  </si>
  <si>
    <t>=IF(K61=0,"",ROUND((M61/K61),2))</t>
  </si>
  <si>
    <t>=P61-Q61</t>
  </si>
  <si>
    <t>=IF(P61=0,"",ROUND((R61/P61),2))</t>
  </si>
  <si>
    <t>=U61-V61</t>
  </si>
  <si>
    <t>=IF(U61=0,"",ROUND((W61/U61),2))</t>
  </si>
  <si>
    <t>=IF(E62="Posting",NF(D62,"1 No."),IF(OR(E62="Total",E62="End-Total"),NF(D62,"34 Totaling"),"0"))</t>
  </si>
  <si>
    <t>=REPT(" ",G62*5) &amp; NF($D62,$I$11)</t>
  </si>
  <si>
    <t>=GL("Budget",$H62,ColumnStartDate,ColumnEndDate,,,,,,,BudgetName)</t>
  </si>
  <si>
    <t>=GL("Balance",$H62,ColumnStartDate,ColumnEndDate)</t>
  </si>
  <si>
    <t>=K62-L62</t>
  </si>
  <si>
    <t>=IF(K62=0,"",ROUND((M62/K62),2))</t>
  </si>
  <si>
    <t>=P62-Q62</t>
  </si>
  <si>
    <t>=IF(P62=0,"",ROUND((R62/P62),2))</t>
  </si>
  <si>
    <t>=U62-V62</t>
  </si>
  <si>
    <t>=IF(U62=0,"",ROUND((W62/U62),2))</t>
  </si>
  <si>
    <t>=NF($D13,"4 Account Type")</t>
  </si>
  <si>
    <t>=NF($D13,"19 Indentation")</t>
  </si>
  <si>
    <t>=NF($D14,"4 Account Type")</t>
  </si>
  <si>
    <t>=NF($D14,"19 Indentation")</t>
  </si>
  <si>
    <t>=NF($D15,"4 Account Type")</t>
  </si>
  <si>
    <t>=NF($D15,"19 Indentation")</t>
  </si>
  <si>
    <t>=NF($D16,"4 Account Type")</t>
  </si>
  <si>
    <t>=NF($D16,"19 Indentation")</t>
  </si>
  <si>
    <t>=NF($D17,"4 Account Type")</t>
  </si>
  <si>
    <t>=NF($D17,"19 Indentation")</t>
  </si>
  <si>
    <t>=NF($D18,"4 Account Type")</t>
  </si>
  <si>
    <t>=NF($D18,"19 Indentation")</t>
  </si>
  <si>
    <t>=NF($D19,"4 Account Type")</t>
  </si>
  <si>
    <t>=NF($D19,"19 Indentation")</t>
  </si>
  <si>
    <t>=NF($D20,"4 Account Type")</t>
  </si>
  <si>
    <t>=NF($D20,"19 Indentation")</t>
  </si>
  <si>
    <t>=NF($D21,"4 Account Type")</t>
  </si>
  <si>
    <t>=NF($D21,"19 Indentation")</t>
  </si>
  <si>
    <t>=NF($D22,"4 Account Type")</t>
  </si>
  <si>
    <t>=NF($D22,"19 Indentation")</t>
  </si>
  <si>
    <t>=NF($D23,"4 Account Type")</t>
  </si>
  <si>
    <t>=NF($D23,"19 Indentation")</t>
  </si>
  <si>
    <t>=NF($D24,"4 Account Type")</t>
  </si>
  <si>
    <t>=NF($D24,"19 Indentation")</t>
  </si>
  <si>
    <t>=NF($D25,"4 Account Type")</t>
  </si>
  <si>
    <t>=NF($D25,"19 Indentation")</t>
  </si>
  <si>
    <t>=NF($D26,"4 Account Type")</t>
  </si>
  <si>
    <t>=NF($D26,"19 Indentation")</t>
  </si>
  <si>
    <t>=NF($D27,"4 Account Type")</t>
  </si>
  <si>
    <t>=NF($D27,"19 Indentation")</t>
  </si>
  <si>
    <t>=NF($D28,"4 Account Type")</t>
  </si>
  <si>
    <t>=NF($D28,"19 Indentation")</t>
  </si>
  <si>
    <t>=NF($D29,"4 Account Type")</t>
  </si>
  <si>
    <t>=NF($D29,"19 Indentation")</t>
  </si>
  <si>
    <t>=NF($D30,"4 Account Type")</t>
  </si>
  <si>
    <t>=NF($D30,"19 Indentation")</t>
  </si>
  <si>
    <t>=NF($D31,"4 Account Type")</t>
  </si>
  <si>
    <t>=NF($D31,"19 Indentation")</t>
  </si>
  <si>
    <t>=NF($D32,"4 Account Type")</t>
  </si>
  <si>
    <t>=NF($D32,"19 Indentation")</t>
  </si>
  <si>
    <t>=NF($D33,"4 Account Type")</t>
  </si>
  <si>
    <t>=NF($D33,"19 Indentation")</t>
  </si>
  <si>
    <t>=NF($D34,"4 Account Type")</t>
  </si>
  <si>
    <t>=NF($D34,"19 Indentation")</t>
  </si>
  <si>
    <t>=NF($D35,"4 Account Type")</t>
  </si>
  <si>
    <t>=NF($D35,"19 Indentation")</t>
  </si>
  <si>
    <t>=NF($D36,"4 Account Type")</t>
  </si>
  <si>
    <t>=NF($D36,"19 Indentation")</t>
  </si>
  <si>
    <t>=NF($D37,"4 Account Type")</t>
  </si>
  <si>
    <t>=NF($D37,"19 Indentation")</t>
  </si>
  <si>
    <t>=NF($D38,"4 Account Type")</t>
  </si>
  <si>
    <t>=NF($D38,"19 Indentation")</t>
  </si>
  <si>
    <t>=NF($D39,"4 Account Type")</t>
  </si>
  <si>
    <t>=NF($D39,"19 Indentation")</t>
  </si>
  <si>
    <t>=NF($D40,"4 Account Type")</t>
  </si>
  <si>
    <t>=NF($D40,"19 Indentation")</t>
  </si>
  <si>
    <t>=NF($D41,"4 Account Type")</t>
  </si>
  <si>
    <t>=NF($D41,"19 Indentation")</t>
  </si>
  <si>
    <t>=NF($D42,"4 Account Type")</t>
  </si>
  <si>
    <t>=NF($D42,"19 Indentation")</t>
  </si>
  <si>
    <t>=NF($D43,"4 Account Type")</t>
  </si>
  <si>
    <t>=NF($D43,"19 Indentation")</t>
  </si>
  <si>
    <t>=NF($D44,"4 Account Type")</t>
  </si>
  <si>
    <t>=NF($D44,"19 Indentation")</t>
  </si>
  <si>
    <t>=NF($D45,"4 Account Type")</t>
  </si>
  <si>
    <t>=NF($D45,"19 Indentation")</t>
  </si>
  <si>
    <t>=NF($D46,"4 Account Type")</t>
  </si>
  <si>
    <t>=NF($D46,"19 Indentation")</t>
  </si>
  <si>
    <t>=NF($D47,"4 Account Type")</t>
  </si>
  <si>
    <t>=NF($D47,"19 Indentation")</t>
  </si>
  <si>
    <t>=NF($D48,"4 Account Type")</t>
  </si>
  <si>
    <t>=NF($D48,"19 Indentation")</t>
  </si>
  <si>
    <t>=NF($D49,"4 Account Type")</t>
  </si>
  <si>
    <t>=NF($D49,"19 Indentation")</t>
  </si>
  <si>
    <t>=NF($D50,"4 Account Type")</t>
  </si>
  <si>
    <t>=NF($D50,"19 Indentation")</t>
  </si>
  <si>
    <t>=NF($D51,"4 Account Type")</t>
  </si>
  <si>
    <t>=NF($D51,"19 Indentation")</t>
  </si>
  <si>
    <t>=NF($D52,"4 Account Type")</t>
  </si>
  <si>
    <t>=NF($D52,"19 Indentation")</t>
  </si>
  <si>
    <t>=NF($D53,"4 Account Type")</t>
  </si>
  <si>
    <t>=NF($D53,"19 Indentation")</t>
  </si>
  <si>
    <t>=NF($D54,"4 Account Type")</t>
  </si>
  <si>
    <t>=NF($D54,"19 Indentation")</t>
  </si>
  <si>
    <t>=NF($D55,"4 Account Type")</t>
  </si>
  <si>
    <t>=NF($D55,"19 Indentation")</t>
  </si>
  <si>
    <t>=NF($D56,"4 Account Type")</t>
  </si>
  <si>
    <t>=NF($D56,"19 Indentation")</t>
  </si>
  <si>
    <t>=NF($D57,"4 Account Type")</t>
  </si>
  <si>
    <t>=NF($D57,"19 Indentation")</t>
  </si>
  <si>
    <t>=NF($D58,"4 Account Type")</t>
  </si>
  <si>
    <t>=NF($D58,"19 Indentation")</t>
  </si>
  <si>
    <t>=NF($D59,"4 Account Type")</t>
  </si>
  <si>
    <t>=NF($D59,"19 Indentation")</t>
  </si>
  <si>
    <t>=NF($D60,"4 Account Type")</t>
  </si>
  <si>
    <t>=NF($D60,"19 Indentation")</t>
  </si>
  <si>
    <t>=NF($D61,"4 Account Type")</t>
  </si>
  <si>
    <t>=NF($D61,"19 Indentation")</t>
  </si>
  <si>
    <t>=NF($D62,"4 Account Type")</t>
  </si>
  <si>
    <t>=NF($D62,"19 Indentation")</t>
  </si>
  <si>
    <t>Questions About This Report</t>
  </si>
  <si>
    <t>Click here to contact sample reports</t>
  </si>
  <si>
    <t>Click here for downloads</t>
  </si>
  <si>
    <t>Tooltip</t>
  </si>
  <si>
    <t>Enter a date using the date format used in your NAV instance</t>
  </si>
  <si>
    <t>=Z8</t>
  </si>
  <si>
    <t>=AE8</t>
  </si>
  <si>
    <t>=AJ8</t>
  </si>
  <si>
    <t>=NL(,NP("Dates",Z8,"12/30/2050",PeriodType,TRUE))</t>
  </si>
  <si>
    <t>=Z9</t>
  </si>
  <si>
    <t>=NL(,NP("Dates",AE8,"12/30/2050",PeriodType,TRUE))</t>
  </si>
  <si>
    <t>=AE9</t>
  </si>
  <si>
    <t>=NL(,NP("Dates",AJ8,"12/30/2050",PeriodType,TRUE))</t>
  </si>
  <si>
    <t>=AJ9</t>
  </si>
  <si>
    <t>=IF(AND(Heading=FALSE,BlankZero="Yes",MIN(K12:AP12)=0,MAX(K12:AP12)=0),"Hide","Show")</t>
  </si>
  <si>
    <t>=Z12-AA12</t>
  </si>
  <si>
    <t>=IF(Z12=0,"",ROUND((AB12/Z12),2))</t>
  </si>
  <si>
    <t>=AE12-AF12</t>
  </si>
  <si>
    <t>=IF(AE12=0,"",ROUND((AG12/AE12),2))</t>
  </si>
  <si>
    <t>=AJ12-AK12</t>
  </si>
  <si>
    <t>=IF(AJ12=0,"",ROUND((AL12/AJ12),2))</t>
  </si>
  <si>
    <t>=IF(AND(Heading=FALSE,BlankZero="Yes",MIN(K13:AP13)=0,MAX(K13:AP13)=0),"Hide","Show")</t>
  </si>
  <si>
    <t>=Z13-AA13</t>
  </si>
  <si>
    <t>=IF(Z13=0,"",ROUND((AB13/Z13),2))</t>
  </si>
  <si>
    <t>=AE13-AF13</t>
  </si>
  <si>
    <t>=IF(AE13=0,"",ROUND((AG13/AE13),2))</t>
  </si>
  <si>
    <t>=AJ13-AK13</t>
  </si>
  <si>
    <t>=IF(AJ13=0,"",ROUND((AL13/AJ13),2))</t>
  </si>
  <si>
    <t>=IF(AND(Heading=FALSE,BlankZero="Yes",MIN(K14:AP14)=0,MAX(K14:AP14)=0),"Hide","Show")</t>
  </si>
  <si>
    <t>=Z14-AA14</t>
  </si>
  <si>
    <t>=IF(Z14=0,"",ROUND((AB14/Z14),2))</t>
  </si>
  <si>
    <t>=AE14-AF14</t>
  </si>
  <si>
    <t>=IF(AE14=0,"",ROUND((AG14/AE14),2))</t>
  </si>
  <si>
    <t>=AJ14-AK14</t>
  </si>
  <si>
    <t>=IF(AJ14=0,"",ROUND((AL14/AJ14),2))</t>
  </si>
  <si>
    <t>=IF(AND(Heading=FALSE,BlankZero="Yes",MIN(K15:AP15)=0,MAX(K15:AP15)=0),"Hide","Show")</t>
  </si>
  <si>
    <t>=Z15-AA15</t>
  </si>
  <si>
    <t>=IF(Z15=0,"",ROUND((AB15/Z15),2))</t>
  </si>
  <si>
    <t>=AE15-AF15</t>
  </si>
  <si>
    <t>=IF(AE15=0,"",ROUND((AG15/AE15),2))</t>
  </si>
  <si>
    <t>=AJ15-AK15</t>
  </si>
  <si>
    <t>=IF(AJ15=0,"",ROUND((AL15/AJ15),2))</t>
  </si>
  <si>
    <t>=IF(AND(Heading=FALSE,BlankZero="Yes",MIN(K16:AP16)=0,MAX(K16:AP16)=0),"Hide","Show")</t>
  </si>
  <si>
    <t>=Z16-AA16</t>
  </si>
  <si>
    <t>=IF(Z16=0,"",ROUND((AB16/Z16),2))</t>
  </si>
  <si>
    <t>=AE16-AF16</t>
  </si>
  <si>
    <t>=IF(AE16=0,"",ROUND((AG16/AE16),2))</t>
  </si>
  <si>
    <t>=AJ16-AK16</t>
  </si>
  <si>
    <t>=IF(AJ16=0,"",ROUND((AL16/AJ16),2))</t>
  </si>
  <si>
    <t>=IF(AND(Heading=FALSE,BlankZero="Yes",MIN(K17:AP17)=0,MAX(K17:AP17)=0),"Hide","Show")</t>
  </si>
  <si>
    <t>=Z17-AA17</t>
  </si>
  <si>
    <t>=IF(Z17=0,"",ROUND((AB17/Z17),2))</t>
  </si>
  <si>
    <t>=AE17-AF17</t>
  </si>
  <si>
    <t>=IF(AE17=0,"",ROUND((AG17/AE17),2))</t>
  </si>
  <si>
    <t>=AJ17-AK17</t>
  </si>
  <si>
    <t>=IF(AJ17=0,"",ROUND((AL17/AJ17),2))</t>
  </si>
  <si>
    <t>=IF(AND(Heading=FALSE,BlankZero="Yes",MIN(K18:AP18)=0,MAX(K18:AP18)=0),"Hide","Show")</t>
  </si>
  <si>
    <t>=Z18-AA18</t>
  </si>
  <si>
    <t>=IF(Z18=0,"",ROUND((AB18/Z18),2))</t>
  </si>
  <si>
    <t>=AE18-AF18</t>
  </si>
  <si>
    <t>=IF(AE18=0,"",ROUND((AG18/AE18),2))</t>
  </si>
  <si>
    <t>=AJ18-AK18</t>
  </si>
  <si>
    <t>=IF(AJ18=0,"",ROUND((AL18/AJ18),2))</t>
  </si>
  <si>
    <t>=IF(AND(Heading=FALSE,BlankZero="Yes",MIN(K19:AP19)=0,MAX(K19:AP19)=0),"Hide","Show")</t>
  </si>
  <si>
    <t>=Z19-AA19</t>
  </si>
  <si>
    <t>=IF(Z19=0,"",ROUND((AB19/Z19),2))</t>
  </si>
  <si>
    <t>=AE19-AF19</t>
  </si>
  <si>
    <t>=IF(AE19=0,"",ROUND((AG19/AE19),2))</t>
  </si>
  <si>
    <t>=AJ19-AK19</t>
  </si>
  <si>
    <t>=IF(AJ19=0,"",ROUND((AL19/AJ19),2))</t>
  </si>
  <si>
    <t>=IF(AND(Heading=FALSE,BlankZero="Yes",MIN(K20:AP20)=0,MAX(K20:AP20)=0),"Hide","Show")</t>
  </si>
  <si>
    <t>=Z20-AA20</t>
  </si>
  <si>
    <t>=IF(Z20=0,"",ROUND((AB20/Z20),2))</t>
  </si>
  <si>
    <t>=AE20-AF20</t>
  </si>
  <si>
    <t>=IF(AE20=0,"",ROUND((AG20/AE20),2))</t>
  </si>
  <si>
    <t>=AJ20-AK20</t>
  </si>
  <si>
    <t>=IF(AJ20=0,"",ROUND((AL20/AJ20),2))</t>
  </si>
  <si>
    <t>=IF(AND(Heading=FALSE,BlankZero="Yes",MIN(K21:AP21)=0,MAX(K21:AP21)=0),"Hide","Show")</t>
  </si>
  <si>
    <t>=Z21-AA21</t>
  </si>
  <si>
    <t>=IF(Z21=0,"",ROUND((AB21/Z21),2))</t>
  </si>
  <si>
    <t>=AE21-AF21</t>
  </si>
  <si>
    <t>=IF(AE21=0,"",ROUND((AG21/AE21),2))</t>
  </si>
  <si>
    <t>=AJ21-AK21</t>
  </si>
  <si>
    <t>=IF(AJ21=0,"",ROUND((AL21/AJ21),2))</t>
  </si>
  <si>
    <t>=IF(AND(Heading=FALSE,BlankZero="Yes",MIN(K22:AP22)=0,MAX(K22:AP22)=0),"Hide","Show")</t>
  </si>
  <si>
    <t>=Z22-AA22</t>
  </si>
  <si>
    <t>=IF(Z22=0,"",ROUND((AB22/Z22),2))</t>
  </si>
  <si>
    <t>=AE22-AF22</t>
  </si>
  <si>
    <t>=IF(AE22=0,"",ROUND((AG22/AE22),2))</t>
  </si>
  <si>
    <t>=AJ22-AK22</t>
  </si>
  <si>
    <t>=IF(AJ22=0,"",ROUND((AL22/AJ22),2))</t>
  </si>
  <si>
    <t>=IF(AND(Heading=FALSE,BlankZero="Yes",MIN(K23:AP23)=0,MAX(K23:AP23)=0),"Hide","Show")</t>
  </si>
  <si>
    <t>=Z23-AA23</t>
  </si>
  <si>
    <t>=IF(Z23=0,"",ROUND((AB23/Z23),2))</t>
  </si>
  <si>
    <t>=AE23-AF23</t>
  </si>
  <si>
    <t>=IF(AE23=0,"",ROUND((AG23/AE23),2))</t>
  </si>
  <si>
    <t>=AJ23-AK23</t>
  </si>
  <si>
    <t>=IF(AJ23=0,"",ROUND((AL23/AJ23),2))</t>
  </si>
  <si>
    <t>=IF(AND(Heading=FALSE,BlankZero="Yes",MIN(K24:AP24)=0,MAX(K24:AP24)=0),"Hide","Show")</t>
  </si>
  <si>
    <t>=Z24-AA24</t>
  </si>
  <si>
    <t>=IF(Z24=0,"",ROUND((AB24/Z24),2))</t>
  </si>
  <si>
    <t>=AE24-AF24</t>
  </si>
  <si>
    <t>=IF(AE24=0,"",ROUND((AG24/AE24),2))</t>
  </si>
  <si>
    <t>=AJ24-AK24</t>
  </si>
  <si>
    <t>=IF(AJ24=0,"",ROUND((AL24/AJ24),2))</t>
  </si>
  <si>
    <t>=IF(AND(Heading=FALSE,BlankZero="Yes",MIN(K25:AP25)=0,MAX(K25:AP25)=0),"Hide","Show")</t>
  </si>
  <si>
    <t>=Z25-AA25</t>
  </si>
  <si>
    <t>=IF(Z25=0,"",ROUND((AB25/Z25),2))</t>
  </si>
  <si>
    <t>=AE25-AF25</t>
  </si>
  <si>
    <t>=IF(AE25=0,"",ROUND((AG25/AE25),2))</t>
  </si>
  <si>
    <t>=AJ25-AK25</t>
  </si>
  <si>
    <t>=IF(AJ25=0,"",ROUND((AL25/AJ25),2))</t>
  </si>
  <si>
    <t>=IF(AND(Heading=FALSE,BlankZero="Yes",MIN(K26:AP26)=0,MAX(K26:AP26)=0),"Hide","Show")</t>
  </si>
  <si>
    <t>=Z26-AA26</t>
  </si>
  <si>
    <t>=IF(Z26=0,"",ROUND((AB26/Z26),2))</t>
  </si>
  <si>
    <t>=AE26-AF26</t>
  </si>
  <si>
    <t>=IF(AE26=0,"",ROUND((AG26/AE26),2))</t>
  </si>
  <si>
    <t>=AJ26-AK26</t>
  </si>
  <si>
    <t>=IF(AJ26=0,"",ROUND((AL26/AJ26),2))</t>
  </si>
  <si>
    <t>=IF(AND(Heading=FALSE,BlankZero="Yes",MIN(K27:AP27)=0,MAX(K27:AP27)=0),"Hide","Show")</t>
  </si>
  <si>
    <t>=Z27-AA27</t>
  </si>
  <si>
    <t>=IF(Z27=0,"",ROUND((AB27/Z27),2))</t>
  </si>
  <si>
    <t>=AE27-AF27</t>
  </si>
  <si>
    <t>=IF(AE27=0,"",ROUND((AG27/AE27),2))</t>
  </si>
  <si>
    <t>=AJ27-AK27</t>
  </si>
  <si>
    <t>=IF(AJ27=0,"",ROUND((AL27/AJ27),2))</t>
  </si>
  <si>
    <t>=IF(AND(Heading=FALSE,BlankZero="Yes",MIN(K28:AP28)=0,MAX(K28:AP28)=0),"Hide","Show")</t>
  </si>
  <si>
    <t>=Z28-AA28</t>
  </si>
  <si>
    <t>=IF(Z28=0,"",ROUND((AB28/Z28),2))</t>
  </si>
  <si>
    <t>=AE28-AF28</t>
  </si>
  <si>
    <t>=IF(AE28=0,"",ROUND((AG28/AE28),2))</t>
  </si>
  <si>
    <t>=AJ28-AK28</t>
  </si>
  <si>
    <t>=IF(AJ28=0,"",ROUND((AL28/AJ28),2))</t>
  </si>
  <si>
    <t>=IF(AND(Heading=FALSE,BlankZero="Yes",MIN(K29:AP29)=0,MAX(K29:AP29)=0),"Hide","Show")</t>
  </si>
  <si>
    <t>=Z29-AA29</t>
  </si>
  <si>
    <t>=IF(Z29=0,"",ROUND((AB29/Z29),2))</t>
  </si>
  <si>
    <t>=AE29-AF29</t>
  </si>
  <si>
    <t>=IF(AE29=0,"",ROUND((AG29/AE29),2))</t>
  </si>
  <si>
    <t>=AJ29-AK29</t>
  </si>
  <si>
    <t>=IF(AJ29=0,"",ROUND((AL29/AJ29),2))</t>
  </si>
  <si>
    <t>=IF(AND(Heading=FALSE,BlankZero="Yes",MIN(K30:AP30)=0,MAX(K30:AP30)=0),"Hide","Show")</t>
  </si>
  <si>
    <t>=Z30-AA30</t>
  </si>
  <si>
    <t>=IF(Z30=0,"",ROUND((AB30/Z30),2))</t>
  </si>
  <si>
    <t>=AE30-AF30</t>
  </si>
  <si>
    <t>=IF(AE30=0,"",ROUND((AG30/AE30),2))</t>
  </si>
  <si>
    <t>=AJ30-AK30</t>
  </si>
  <si>
    <t>=IF(AJ30=0,"",ROUND((AL30/AJ30),2))</t>
  </si>
  <si>
    <t>=IF(AND(Heading=FALSE,BlankZero="Yes",MIN(K31:AP31)=0,MAX(K31:AP31)=0),"Hide","Show")</t>
  </si>
  <si>
    <t>=Z31-AA31</t>
  </si>
  <si>
    <t>=IF(Z31=0,"",ROUND((AB31/Z31),2))</t>
  </si>
  <si>
    <t>=AE31-AF31</t>
  </si>
  <si>
    <t>=IF(AE31=0,"",ROUND((AG31/AE31),2))</t>
  </si>
  <si>
    <t>=AJ31-AK31</t>
  </si>
  <si>
    <t>=IF(AJ31=0,"",ROUND((AL31/AJ31),2))</t>
  </si>
  <si>
    <t>=IF(AND(Heading=FALSE,BlankZero="Yes",MIN(K32:AP32)=0,MAX(K32:AP32)=0),"Hide","Show")</t>
  </si>
  <si>
    <t>=Z32-AA32</t>
  </si>
  <si>
    <t>=IF(Z32=0,"",ROUND((AB32/Z32),2))</t>
  </si>
  <si>
    <t>=AE32-AF32</t>
  </si>
  <si>
    <t>=IF(AE32=0,"",ROUND((AG32/AE32),2))</t>
  </si>
  <si>
    <t>=AJ32-AK32</t>
  </si>
  <si>
    <t>=IF(AJ32=0,"",ROUND((AL32/AJ32),2))</t>
  </si>
  <si>
    <t>=IF(AND(Heading=FALSE,BlankZero="Yes",MIN(K33:AP33)=0,MAX(K33:AP33)=0),"Hide","Show")</t>
  </si>
  <si>
    <t>=Z33-AA33</t>
  </si>
  <si>
    <t>=IF(Z33=0,"",ROUND((AB33/Z33),2))</t>
  </si>
  <si>
    <t>=AE33-AF33</t>
  </si>
  <si>
    <t>=IF(AE33=0,"",ROUND((AG33/AE33),2))</t>
  </si>
  <si>
    <t>=AJ33-AK33</t>
  </si>
  <si>
    <t>=IF(AJ33=0,"",ROUND((AL33/AJ33),2))</t>
  </si>
  <si>
    <t>=IF(AND(Heading=FALSE,BlankZero="Yes",MIN(K34:AP34)=0,MAX(K34:AP34)=0),"Hide","Show")</t>
  </si>
  <si>
    <t>=Z34-AA34</t>
  </si>
  <si>
    <t>=IF(Z34=0,"",ROUND((AB34/Z34),2))</t>
  </si>
  <si>
    <t>=AE34-AF34</t>
  </si>
  <si>
    <t>=IF(AE34=0,"",ROUND((AG34/AE34),2))</t>
  </si>
  <si>
    <t>=AJ34-AK34</t>
  </si>
  <si>
    <t>=IF(AJ34=0,"",ROUND((AL34/AJ34),2))</t>
  </si>
  <si>
    <t>=IF(AND(Heading=FALSE,BlankZero="Yes",MIN(K35:AP35)=0,MAX(K35:AP35)=0),"Hide","Show")</t>
  </si>
  <si>
    <t>=Z35-AA35</t>
  </si>
  <si>
    <t>=IF(Z35=0,"",ROUND((AB35/Z35),2))</t>
  </si>
  <si>
    <t>=AE35-AF35</t>
  </si>
  <si>
    <t>=IF(AE35=0,"",ROUND((AG35/AE35),2))</t>
  </si>
  <si>
    <t>=AJ35-AK35</t>
  </si>
  <si>
    <t>=IF(AJ35=0,"",ROUND((AL35/AJ35),2))</t>
  </si>
  <si>
    <t>=IF(AND(Heading=FALSE,BlankZero="Yes",MIN(K36:AP36)=0,MAX(K36:AP36)=0),"Hide","Show")</t>
  </si>
  <si>
    <t>=Z36-AA36</t>
  </si>
  <si>
    <t>=IF(Z36=0,"",ROUND((AB36/Z36),2))</t>
  </si>
  <si>
    <t>=AE36-AF36</t>
  </si>
  <si>
    <t>=IF(AE36=0,"",ROUND((AG36/AE36),2))</t>
  </si>
  <si>
    <t>=AJ36-AK36</t>
  </si>
  <si>
    <t>=IF(AJ36=0,"",ROUND((AL36/AJ36),2))</t>
  </si>
  <si>
    <t>=IF(AND(Heading=FALSE,BlankZero="Yes",MIN(K37:AP37)=0,MAX(K37:AP37)=0),"Hide","Show")</t>
  </si>
  <si>
    <t>=Z37-AA37</t>
  </si>
  <si>
    <t>=IF(Z37=0,"",ROUND((AB37/Z37),2))</t>
  </si>
  <si>
    <t>=AE37-AF37</t>
  </si>
  <si>
    <t>=IF(AE37=0,"",ROUND((AG37/AE37),2))</t>
  </si>
  <si>
    <t>=AJ37-AK37</t>
  </si>
  <si>
    <t>=IF(AJ37=0,"",ROUND((AL37/AJ37),2))</t>
  </si>
  <si>
    <t>=IF(AND(Heading=FALSE,BlankZero="Yes",MIN(K38:AP38)=0,MAX(K38:AP38)=0),"Hide","Show")</t>
  </si>
  <si>
    <t>=Z38-AA38</t>
  </si>
  <si>
    <t>=IF(Z38=0,"",ROUND((AB38/Z38),2))</t>
  </si>
  <si>
    <t>=AE38-AF38</t>
  </si>
  <si>
    <t>=IF(AE38=0,"",ROUND((AG38/AE38),2))</t>
  </si>
  <si>
    <t>=AJ38-AK38</t>
  </si>
  <si>
    <t>=IF(AJ38=0,"",ROUND((AL38/AJ38),2))</t>
  </si>
  <si>
    <t>=IF(AND(Heading=FALSE,BlankZero="Yes",MIN(K39:AP39)=0,MAX(K39:AP39)=0),"Hide","Show")</t>
  </si>
  <si>
    <t>=Z39-AA39</t>
  </si>
  <si>
    <t>=IF(Z39=0,"",ROUND((AB39/Z39),2))</t>
  </si>
  <si>
    <t>=AE39-AF39</t>
  </si>
  <si>
    <t>=IF(AE39=0,"",ROUND((AG39/AE39),2))</t>
  </si>
  <si>
    <t>=AJ39-AK39</t>
  </si>
  <si>
    <t>=IF(AJ39=0,"",ROUND((AL39/AJ39),2))</t>
  </si>
  <si>
    <t>=IF(AND(Heading=FALSE,BlankZero="Yes",MIN(K40:AP40)=0,MAX(K40:AP40)=0),"Hide","Show")</t>
  </si>
  <si>
    <t>=Z40-AA40</t>
  </si>
  <si>
    <t>=IF(Z40=0,"",ROUND((AB40/Z40),2))</t>
  </si>
  <si>
    <t>=AE40-AF40</t>
  </si>
  <si>
    <t>=IF(AE40=0,"",ROUND((AG40/AE40),2))</t>
  </si>
  <si>
    <t>=AJ40-AK40</t>
  </si>
  <si>
    <t>=IF(AJ40=0,"",ROUND((AL40/AJ40),2))</t>
  </si>
  <si>
    <t>=IF(AND(Heading=FALSE,BlankZero="Yes",MIN(K41:AP41)=0,MAX(K41:AP41)=0),"Hide","Show")</t>
  </si>
  <si>
    <t>=Z41-AA41</t>
  </si>
  <si>
    <t>=IF(Z41=0,"",ROUND((AB41/Z41),2))</t>
  </si>
  <si>
    <t>=AE41-AF41</t>
  </si>
  <si>
    <t>=IF(AE41=0,"",ROUND((AG41/AE41),2))</t>
  </si>
  <si>
    <t>=AJ41-AK41</t>
  </si>
  <si>
    <t>=IF(AJ41=0,"",ROUND((AL41/AJ41),2))</t>
  </si>
  <si>
    <t>=IF(AND(Heading=FALSE,BlankZero="Yes",MIN(K42:AP42)=0,MAX(K42:AP42)=0),"Hide","Show")</t>
  </si>
  <si>
    <t>=Z42-AA42</t>
  </si>
  <si>
    <t>=IF(Z42=0,"",ROUND((AB42/Z42),2))</t>
  </si>
  <si>
    <t>=AE42-AF42</t>
  </si>
  <si>
    <t>=IF(AE42=0,"",ROUND((AG42/AE42),2))</t>
  </si>
  <si>
    <t>=AJ42-AK42</t>
  </si>
  <si>
    <t>=IF(AJ42=0,"",ROUND((AL42/AJ42),2))</t>
  </si>
  <si>
    <t>=IF(AND(Heading=FALSE,BlankZero="Yes",MIN(K43:AP43)=0,MAX(K43:AP43)=0),"Hide","Show")</t>
  </si>
  <si>
    <t>=Z43-AA43</t>
  </si>
  <si>
    <t>=IF(Z43=0,"",ROUND((AB43/Z43),2))</t>
  </si>
  <si>
    <t>=AE43-AF43</t>
  </si>
  <si>
    <t>=IF(AE43=0,"",ROUND((AG43/AE43),2))</t>
  </si>
  <si>
    <t>=AJ43-AK43</t>
  </si>
  <si>
    <t>=IF(AJ43=0,"",ROUND((AL43/AJ43),2))</t>
  </si>
  <si>
    <t>=IF(AND(Heading=FALSE,BlankZero="Yes",MIN(K44:AP44)=0,MAX(K44:AP44)=0),"Hide","Show")</t>
  </si>
  <si>
    <t>=Z44-AA44</t>
  </si>
  <si>
    <t>=IF(Z44=0,"",ROUND((AB44/Z44),2))</t>
  </si>
  <si>
    <t>=AE44-AF44</t>
  </si>
  <si>
    <t>=IF(AE44=0,"",ROUND((AG44/AE44),2))</t>
  </si>
  <si>
    <t>=AJ44-AK44</t>
  </si>
  <si>
    <t>=IF(AJ44=0,"",ROUND((AL44/AJ44),2))</t>
  </si>
  <si>
    <t>=IF(AND(Heading=FALSE,BlankZero="Yes",MIN(K45:AP45)=0,MAX(K45:AP45)=0),"Hide","Show")</t>
  </si>
  <si>
    <t>=Z45-AA45</t>
  </si>
  <si>
    <t>=IF(Z45=0,"",ROUND((AB45/Z45),2))</t>
  </si>
  <si>
    <t>=AE45-AF45</t>
  </si>
  <si>
    <t>=IF(AE45=0,"",ROUND((AG45/AE45),2))</t>
  </si>
  <si>
    <t>=AJ45-AK45</t>
  </si>
  <si>
    <t>=IF(AJ45=0,"",ROUND((AL45/AJ45),2))</t>
  </si>
  <si>
    <t>=IF(AND(Heading=FALSE,BlankZero="Yes",MIN(K46:AP46)=0,MAX(K46:AP46)=0),"Hide","Show")</t>
  </si>
  <si>
    <t>=Z46-AA46</t>
  </si>
  <si>
    <t>=IF(Z46=0,"",ROUND((AB46/Z46),2))</t>
  </si>
  <si>
    <t>=AE46-AF46</t>
  </si>
  <si>
    <t>=IF(AE46=0,"",ROUND((AG46/AE46),2))</t>
  </si>
  <si>
    <t>=AJ46-AK46</t>
  </si>
  <si>
    <t>=IF(AJ46=0,"",ROUND((AL46/AJ46),2))</t>
  </si>
  <si>
    <t>=IF(AND(Heading=FALSE,BlankZero="Yes",MIN(K47:AP47)=0,MAX(K47:AP47)=0),"Hide","Show")</t>
  </si>
  <si>
    <t>=Z47-AA47</t>
  </si>
  <si>
    <t>=IF(Z47=0,"",ROUND((AB47/Z47),2))</t>
  </si>
  <si>
    <t>=AE47-AF47</t>
  </si>
  <si>
    <t>=IF(AE47=0,"",ROUND((AG47/AE47),2))</t>
  </si>
  <si>
    <t>=AJ47-AK47</t>
  </si>
  <si>
    <t>=IF(AJ47=0,"",ROUND((AL47/AJ47),2))</t>
  </si>
  <si>
    <t>=IF(AND(Heading=FALSE,BlankZero="Yes",MIN(K48:AP48)=0,MAX(K48:AP48)=0),"Hide","Show")</t>
  </si>
  <si>
    <t>=Z48-AA48</t>
  </si>
  <si>
    <t>=IF(Z48=0,"",ROUND((AB48/Z48),2))</t>
  </si>
  <si>
    <t>=AE48-AF48</t>
  </si>
  <si>
    <t>=IF(AE48=0,"",ROUND((AG48/AE48),2))</t>
  </si>
  <si>
    <t>=AJ48-AK48</t>
  </si>
  <si>
    <t>=IF(AJ48=0,"",ROUND((AL48/AJ48),2))</t>
  </si>
  <si>
    <t>=IF(AND(Heading=FALSE,BlankZero="Yes",MIN(K49:AP49)=0,MAX(K49:AP49)=0),"Hide","Show")</t>
  </si>
  <si>
    <t>=Z49-AA49</t>
  </si>
  <si>
    <t>=IF(Z49=0,"",ROUND((AB49/Z49),2))</t>
  </si>
  <si>
    <t>=AE49-AF49</t>
  </si>
  <si>
    <t>=IF(AE49=0,"",ROUND((AG49/AE49),2))</t>
  </si>
  <si>
    <t>=AJ49-AK49</t>
  </si>
  <si>
    <t>=IF(AJ49=0,"",ROUND((AL49/AJ49),2))</t>
  </si>
  <si>
    <t>=IF(AND(Heading=FALSE,BlankZero="Yes",MIN(K50:AP50)=0,MAX(K50:AP50)=0),"Hide","Show")</t>
  </si>
  <si>
    <t>=Z50-AA50</t>
  </si>
  <si>
    <t>=IF(Z50=0,"",ROUND((AB50/Z50),2))</t>
  </si>
  <si>
    <t>=AE50-AF50</t>
  </si>
  <si>
    <t>=IF(AE50=0,"",ROUND((AG50/AE50),2))</t>
  </si>
  <si>
    <t>=AJ50-AK50</t>
  </si>
  <si>
    <t>=IF(AJ50=0,"",ROUND((AL50/AJ50),2))</t>
  </si>
  <si>
    <t>=IF(AND(Heading=FALSE,BlankZero="Yes",MIN(K51:AP51)=0,MAX(K51:AP51)=0),"Hide","Show")</t>
  </si>
  <si>
    <t>=Z51-AA51</t>
  </si>
  <si>
    <t>=IF(Z51=0,"",ROUND((AB51/Z51),2))</t>
  </si>
  <si>
    <t>=AE51-AF51</t>
  </si>
  <si>
    <t>=IF(AE51=0,"",ROUND((AG51/AE51),2))</t>
  </si>
  <si>
    <t>=AJ51-AK51</t>
  </si>
  <si>
    <t>=IF(AJ51=0,"",ROUND((AL51/AJ51),2))</t>
  </si>
  <si>
    <t>=IF(AND(Heading=FALSE,BlankZero="Yes",MIN(K52:AP52)=0,MAX(K52:AP52)=0),"Hide","Show")</t>
  </si>
  <si>
    <t>=Z52-AA52</t>
  </si>
  <si>
    <t>=IF(Z52=0,"",ROUND((AB52/Z52),2))</t>
  </si>
  <si>
    <t>=AE52-AF52</t>
  </si>
  <si>
    <t>=IF(AE52=0,"",ROUND((AG52/AE52),2))</t>
  </si>
  <si>
    <t>=AJ52-AK52</t>
  </si>
  <si>
    <t>=IF(AJ52=0,"",ROUND((AL52/AJ52),2))</t>
  </si>
  <si>
    <t>=IF(AND(Heading=FALSE,BlankZero="Yes",MIN(K53:AP53)=0,MAX(K53:AP53)=0),"Hide","Show")</t>
  </si>
  <si>
    <t>=Z53-AA53</t>
  </si>
  <si>
    <t>=IF(Z53=0,"",ROUND((AB53/Z53),2))</t>
  </si>
  <si>
    <t>=AE53-AF53</t>
  </si>
  <si>
    <t>=IF(AE53=0,"",ROUND((AG53/AE53),2))</t>
  </si>
  <si>
    <t>=AJ53-AK53</t>
  </si>
  <si>
    <t>=IF(AJ53=0,"",ROUND((AL53/AJ53),2))</t>
  </si>
  <si>
    <t>=IF(AND(Heading=FALSE,BlankZero="Yes",MIN(K54:AP54)=0,MAX(K54:AP54)=0),"Hide","Show")</t>
  </si>
  <si>
    <t>=Z54-AA54</t>
  </si>
  <si>
    <t>=IF(Z54=0,"",ROUND((AB54/Z54),2))</t>
  </si>
  <si>
    <t>=AE54-AF54</t>
  </si>
  <si>
    <t>=IF(AE54=0,"",ROUND((AG54/AE54),2))</t>
  </si>
  <si>
    <t>=AJ54-AK54</t>
  </si>
  <si>
    <t>=IF(AJ54=0,"",ROUND((AL54/AJ54),2))</t>
  </si>
  <si>
    <t>=IF(AND(Heading=FALSE,BlankZero="Yes",MIN(K55:AP55)=0,MAX(K55:AP55)=0),"Hide","Show")</t>
  </si>
  <si>
    <t>=Z55-AA55</t>
  </si>
  <si>
    <t>=IF(Z55=0,"",ROUND((AB55/Z55),2))</t>
  </si>
  <si>
    <t>=AE55-AF55</t>
  </si>
  <si>
    <t>=IF(AE55=0,"",ROUND((AG55/AE55),2))</t>
  </si>
  <si>
    <t>=AJ55-AK55</t>
  </si>
  <si>
    <t>=IF(AJ55=0,"",ROUND((AL55/AJ55),2))</t>
  </si>
  <si>
    <t>=IF(AND(Heading=FALSE,BlankZero="Yes",MIN(K56:AP56)=0,MAX(K56:AP56)=0),"Hide","Show")</t>
  </si>
  <si>
    <t>=Z56-AA56</t>
  </si>
  <si>
    <t>=IF(Z56=0,"",ROUND((AB56/Z56),2))</t>
  </si>
  <si>
    <t>=AE56-AF56</t>
  </si>
  <si>
    <t>=IF(AE56=0,"",ROUND((AG56/AE56),2))</t>
  </si>
  <si>
    <t>=AJ56-AK56</t>
  </si>
  <si>
    <t>=IF(AJ56=0,"",ROUND((AL56/AJ56),2))</t>
  </si>
  <si>
    <t>=IF(AND(Heading=FALSE,BlankZero="Yes",MIN(K57:AP57)=0,MAX(K57:AP57)=0),"Hide","Show")</t>
  </si>
  <si>
    <t>=Z57-AA57</t>
  </si>
  <si>
    <t>=IF(Z57=0,"",ROUND((AB57/Z57),2))</t>
  </si>
  <si>
    <t>=AE57-AF57</t>
  </si>
  <si>
    <t>=IF(AE57=0,"",ROUND((AG57/AE57),2))</t>
  </si>
  <si>
    <t>=AJ57-AK57</t>
  </si>
  <si>
    <t>=IF(AJ57=0,"",ROUND((AL57/AJ57),2))</t>
  </si>
  <si>
    <t>=IF(AND(Heading=FALSE,BlankZero="Yes",MIN(K58:AP58)=0,MAX(K58:AP58)=0),"Hide","Show")</t>
  </si>
  <si>
    <t>=Z58-AA58</t>
  </si>
  <si>
    <t>=IF(Z58=0,"",ROUND((AB58/Z58),2))</t>
  </si>
  <si>
    <t>=AE58-AF58</t>
  </si>
  <si>
    <t>=IF(AE58=0,"",ROUND((AG58/AE58),2))</t>
  </si>
  <si>
    <t>=AJ58-AK58</t>
  </si>
  <si>
    <t>=IF(AJ58=0,"",ROUND((AL58/AJ58),2))</t>
  </si>
  <si>
    <t>=IF(AND(Heading=FALSE,BlankZero="Yes",MIN(K59:AP59)=0,MAX(K59:AP59)=0),"Hide","Show")</t>
  </si>
  <si>
    <t>=Z59-AA59</t>
  </si>
  <si>
    <t>=IF(Z59=0,"",ROUND((AB59/Z59),2))</t>
  </si>
  <si>
    <t>=AE59-AF59</t>
  </si>
  <si>
    <t>=IF(AE59=0,"",ROUND((AG59/AE59),2))</t>
  </si>
  <si>
    <t>=AJ59-AK59</t>
  </si>
  <si>
    <t>=IF(AJ59=0,"",ROUND((AL59/AJ59),2))</t>
  </si>
  <si>
    <t>=IF(AND(Heading=FALSE,BlankZero="Yes",MIN(K60:AP60)=0,MAX(K60:AP60)=0),"Hide","Show")</t>
  </si>
  <si>
    <t>=Z60-AA60</t>
  </si>
  <si>
    <t>=IF(Z60=0,"",ROUND((AB60/Z60),2))</t>
  </si>
  <si>
    <t>=AE60-AF60</t>
  </si>
  <si>
    <t>=IF(AE60=0,"",ROUND((AG60/AE60),2))</t>
  </si>
  <si>
    <t>=AJ60-AK60</t>
  </si>
  <si>
    <t>=IF(AJ60=0,"",ROUND((AL60/AJ60),2))</t>
  </si>
  <si>
    <t>=IF(AND(Heading=FALSE,BlankZero="Yes",MIN(K61:AP61)=0,MAX(K61:AP61)=0),"Hide","Show")</t>
  </si>
  <si>
    <t>=Z61-AA61</t>
  </si>
  <si>
    <t>=IF(Z61=0,"",ROUND((AB61/Z61),2))</t>
  </si>
  <si>
    <t>=AE61-AF61</t>
  </si>
  <si>
    <t>=IF(AE61=0,"",ROUND((AG61/AE61),2))</t>
  </si>
  <si>
    <t>=AJ61-AK61</t>
  </si>
  <si>
    <t>=IF(AJ61=0,"",ROUND((AL61/AJ61),2))</t>
  </si>
  <si>
    <t>=IF(AND(Heading=FALSE,BlankZero="Yes",MIN(K62:AP62)=0,MAX(K62:AP62)=0),"Hide","Show")</t>
  </si>
  <si>
    <t>=Z62-AA62</t>
  </si>
  <si>
    <t>=IF(Z62=0,"",ROUND((AB62/Z62),2))</t>
  </si>
  <si>
    <t>=AE62-AF62</t>
  </si>
  <si>
    <t>=IF(AE62=0,"",ROUND((AG62/AE62),2))</t>
  </si>
  <si>
    <t>=AJ62-AK62</t>
  </si>
  <si>
    <t>=IF(AJ62=0,"",ROUND((AL62/AJ62),2))</t>
  </si>
  <si>
    <t>Getting Help</t>
  </si>
  <si>
    <t>Modifying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</si>
  <si>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</si>
  <si>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</si>
  <si>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</si>
  <si>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</si>
  <si>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</si>
  <si>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</si>
  <si>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</si>
  <si>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</si>
  <si>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</si>
  <si>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</si>
  <si>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</si>
  <si>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</si>
  <si>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</si>
  <si>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data on Budget, Actual, Variance and Variance percentage for a user specified range of accounts by period.  
The user can specify the period type (week, month, quarter, year) and  a start and end date.
Dates used in filtering must be formatted to the same format used in NAV.</t>
  </si>
  <si>
    <t>This report can be modified by entering into design mode from the Jet tab.</t>
  </si>
  <si>
    <t>�</t>
  </si>
  <si>
    <t>="01/01/2018"</t>
  </si>
  <si>
    <t>="06/01/2018"</t>
  </si>
  <si>
    <t>="2018"</t>
  </si>
  <si>
    <t>43132</t>
  </si>
  <si>
    <t>43160</t>
  </si>
  <si>
    <t>43191</t>
  </si>
  <si>
    <t>43221</t>
  </si>
  <si>
    <t>43252</t>
  </si>
  <si>
    <t>="""NAV Direct"",""CRONUS JetCorp USA"",""15"",""1"",""61000"""</t>
  </si>
  <si>
    <t>="""NAV Direct"",""CRONUS JetCorp USA"",""15"",""1"",""61100"""</t>
  </si>
  <si>
    <t>="""NAV Direct"",""CRONUS JetCorp USA"",""15"",""1"",""61150"""</t>
  </si>
  <si>
    <t>="""NAV Direct"",""CRONUS JetCorp USA"",""15"",""1"",""61200"""</t>
  </si>
  <si>
    <t>="""NAV Direct"",""CRONUS JetCorp USA"",""15"",""1"",""61250"""</t>
  </si>
  <si>
    <t>="""NAV Direct"",""CRONUS JetCorp USA"",""15"",""1"",""61300"""</t>
  </si>
  <si>
    <t>="""NAV Direct"",""CRONUS JetCorp USA"",""15"",""1"",""61350"""</t>
  </si>
  <si>
    <t>="""NAV Direct"",""CRONUS JetCorp USA"",""15"",""1"",""61360"""</t>
  </si>
  <si>
    <t>="""NAV Direct"",""CRONUS JetCorp USA"",""15"",""1"",""61400"""</t>
  </si>
  <si>
    <t>="""NAV Direct"",""CRONUS JetCorp USA"",""15"",""1"",""62000"""</t>
  </si>
  <si>
    <t>="""NAV Direct"",""CRONUS JetCorp USA"",""15"",""1"",""62100"""</t>
  </si>
  <si>
    <t>="""NAV Direct"",""CRONUS JetCorp USA"",""15"",""1"",""62200"""</t>
  </si>
  <si>
    <t>="""NAV Direct"",""CRONUS JetCorp USA"",""15"",""1"",""62300"""</t>
  </si>
  <si>
    <t>="""NAV Direct"",""CRONUS JetCorp USA"",""15"",""1"",""62400"""</t>
  </si>
  <si>
    <t>="""NAV Direct"",""CRONUS JetCorp USA"",""15"",""1"",""62500"""</t>
  </si>
  <si>
    <t>="""NAV Direct"",""CRONUS JetCorp USA"",""15"",""1"",""62600"""</t>
  </si>
  <si>
    <t>="""NAV Direct"",""CRONUS JetCorp USA"",""15"",""1"",""62700"""</t>
  </si>
  <si>
    <t>="""NAV Direct"",""CRONUS JetCorp USA"",""15"",""1"",""62800"""</t>
  </si>
  <si>
    <t>="""NAV Direct"",""CRONUS JetCorp USA"",""15"",""1"",""62900"""</t>
  </si>
  <si>
    <t>="""NAV Direct"",""CRONUS JetCorp USA"",""15"",""1"",""62950"""</t>
  </si>
  <si>
    <t>="""NAV Direct"",""CRONUS JetCorp USA"",""15"",""1"",""64000"""</t>
  </si>
  <si>
    <t>="""NAV Direct"",""CRONUS JetCorp USA"",""15"",""1"",""64100"""</t>
  </si>
  <si>
    <t>="""NAV Direct"",""CRONUS JetCorp USA"",""15"",""1"",""64200"""</t>
  </si>
  <si>
    <t>="""NAV Direct"",""CRONUS JetCorp USA"",""15"",""1"",""64300"""</t>
  </si>
  <si>
    <t>="""NAV Direct"",""CRONUS JetCorp USA"",""15"",""1"",""64400"""</t>
  </si>
  <si>
    <t>="""NAV Direct"",""CRONUS JetCorp USA"",""15"",""1"",""65000"""</t>
  </si>
  <si>
    <t>="""NAV Direct"",""CRONUS JetCorp USA"",""15"",""1"",""65100"""</t>
  </si>
  <si>
    <t>="""NAV Direct"",""CRONUS JetCorp USA"",""15"",""1"",""65200"""</t>
  </si>
  <si>
    <t>="""NAV Direct"",""CRONUS JetCorp USA"",""15"",""1"",""65300"""</t>
  </si>
  <si>
    <t>="""NAV Direct"",""CRONUS JetCorp USA"",""15"",""1"",""65400"""</t>
  </si>
  <si>
    <t>="""NAV Direct"",""CRONUS JetCorp USA"",""15"",""1"",""65500"""</t>
  </si>
  <si>
    <t>="""NAV Direct"",""CRONUS JetCorp USA"",""15"",""1"",""65600"""</t>
  </si>
  <si>
    <t>="""NAV Direct"",""CRONUS JetCorp USA"",""15"",""1"",""65700"""</t>
  </si>
  <si>
    <t>="""NAV Direct"",""CRONUS JetCorp USA"",""15"",""1"",""65800"""</t>
  </si>
  <si>
    <t>="""NAV Direct"",""CRONUS JetCorp USA"",""15"",""1"",""65900"""</t>
  </si>
  <si>
    <t>="""NAV Direct"",""CRONUS JetCorp USA"",""15"",""1"",""66000"""</t>
  </si>
  <si>
    <t>="""NAV Direct"",""CRONUS JetCorp USA"",""15"",""1"",""66100"""</t>
  </si>
  <si>
    <t>="""NAV Direct"",""CRONUS JetCorp USA"",""15"",""1"",""66200"""</t>
  </si>
  <si>
    <t>="""NAV Direct"",""CRONUS JetCorp USA"",""15"",""1"",""66300"""</t>
  </si>
  <si>
    <t>="""NAV Direct"",""CRONUS JetCorp USA"",""15"",""1"",""66400"""</t>
  </si>
  <si>
    <t>="""NAV Direct"",""CRONUS JetCorp USA"",""15"",""1"",""67000"""</t>
  </si>
  <si>
    <t>="""NAV Direct"",""CRONUS JetCorp USA"",""15"",""1"",""67100"""</t>
  </si>
  <si>
    <t>="""NAV Direct"",""CRONUS JetCorp USA"",""15"",""1"",""67200"""</t>
  </si>
  <si>
    <t>="""NAV Direct"",""CRONUS JetCorp USA"",""15"",""1"",""67300"""</t>
  </si>
  <si>
    <t>="""NAV Direct"",""CRONUS JetCorp USA"",""15"",""1"",""67400"""</t>
  </si>
  <si>
    <t>="""NAV Direct"",""CRONUS JetCorp USA"",""15"",""1"",""67500"""</t>
  </si>
  <si>
    <t>="""NAV Direct"",""CRONUS JetCorp USA"",""15"",""1"",""67600"""</t>
  </si>
  <si>
    <t>="""NAV Direct"",""CRONUS JetCorp USA"",""15"",""1"",""69950"""</t>
  </si>
  <si>
    <t>="""NAV Direct"",""CRONUS JetCorp USA"",""15"",""1"",""69999"""</t>
  </si>
  <si>
    <t>="""NAV Direct"",""CRONUS JetCorp USA"",""15"",""1"",""70000"""</t>
  </si>
  <si>
    <t>Auto+Hide+HideSheet+Formulas=Sheet1,Sheet2+FormulasOnly</t>
  </si>
  <si>
    <t>Auto+Hide+Values+Formulas=Sheet3,Sheet4+FormulasOnly</t>
  </si>
  <si>
    <t>Auto+Hide+HideSheet+Formulas=Sheet5,Sheet1,Sheet2</t>
  </si>
  <si>
    <t>Auto+Hide+HideSheet+Formulas=Sheet5,Sheet1,Sheet2+FormulasOnly</t>
  </si>
  <si>
    <t>Auto+Hide+Values+Formulas=Sheet6,Sheet3,Sheet4</t>
  </si>
  <si>
    <t>Auto+Hide+Values+Formulas=Sheet6,Sheet3,Sheet4+FormulasOnly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</si>
</sst>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_);[Red]\(#,##0.00\);"/>
    <numFmt numFmtId="165" formatCode="0%;[Red]\(0%\);\ "/>
  </numFmts>
  <fonts count="12" x14ac:knownFonts="1">
    <font>
      <sz val="11"/>
      <color theme="1"/>
      <name val="Calibri"/>
      <family val="2"/>
      <scheme val="minor"/>
    </font>
    <font>
      <b/>
      <sz val="15"/>
      <color theme="3"/>
      <name val="Calibri"/>
      <family val="2"/>
      <scheme val="minor"/>
    </font>
    <font>
      <sz val="11"/>
      <color rgb="FFA6A6A6"/>
      <name val="Calibri"/>
      <family val="2"/>
      <scheme val="minor"/>
    </font>
    <font>
      <sz val="11"/>
      <color rgb="FF000000"/>
      <name val="Calibri"/>
      <family val="2"/>
      <scheme val="minor"/>
    </font>
    <font>
      <b/>
      <sz val="11"/>
      <color rgb="FF000000"/>
      <name val="Calibri"/>
      <family val="2"/>
      <scheme val="minor"/>
    </font>
    <font>
      <sz val="11"/>
      <color theme="0" tint="-0.34998626667073579"/>
      <name val="Calibri"/>
      <family val="2"/>
      <scheme val="minor"/>
    </font>
    <font>
      <sz val="10"/>
      <name val="Arial"/>
      <family val="2"/>
    </font>
    <font>
      <u/>
      <sz val="10"/>
      <color indexed="12"/>
      <name val="Arial"/>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7">
    <border>
      <left/>
      <right/>
      <top/>
      <bottom/>
      <diagonal/>
    </border>
    <border>
      <left/>
      <right/>
      <top/>
      <bottom style="thick">
        <color theme="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9">
    <xf numFmtId="0" fontId="0" fillId="0" borderId="0"/>
    <xf numFmtId="0" fontId="1" fillId="0" borderId="1" applyNumberFormat="0" applyFill="0" applyAlignment="0" applyProtection="0"/>
    <xf numFmtId="0" fontId="6" fillId="0" borderId="0"/>
    <xf numFmtId="0" fontId="7"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cellStyleXfs>
  <cellXfs count="31">
    <xf numFmtId="0" fontId="0" fillId="0" borderId="0" xfId="0"/>
    <xf numFmtId="0" fontId="2" fillId="0" borderId="0" xfId="0" applyNumberFormat="1" applyFont="1" applyAlignment="1"/>
    <xf numFmtId="0" fontId="3" fillId="2" borderId="0" xfId="0" applyNumberFormat="1" applyFont="1" applyFill="1" applyAlignment="1"/>
    <xf numFmtId="14" fontId="3" fillId="0" borderId="0" xfId="0" applyNumberFormat="1" applyFont="1" applyAlignment="1"/>
    <xf numFmtId="0" fontId="3" fillId="0" borderId="0" xfId="0" applyNumberFormat="1" applyFont="1" applyAlignment="1"/>
    <xf numFmtId="0" fontId="5" fillId="0" borderId="0" xfId="0" applyFont="1"/>
    <xf numFmtId="0" fontId="0" fillId="0" borderId="0" xfId="0" quotePrefix="1"/>
    <xf numFmtId="14" fontId="3" fillId="0" borderId="0" xfId="0" applyNumberFormat="1" applyFont="1" applyAlignment="1">
      <alignment horizontal="left"/>
    </xf>
    <xf numFmtId="43" fontId="3" fillId="0" borderId="2" xfId="0" applyNumberFormat="1" applyFont="1" applyBorder="1" applyAlignment="1"/>
    <xf numFmtId="43" fontId="3" fillId="0" borderId="0" xfId="0" applyNumberFormat="1" applyFont="1" applyBorder="1" applyAlignment="1"/>
    <xf numFmtId="164" fontId="3" fillId="0" borderId="0" xfId="0" applyNumberFormat="1" applyFont="1" applyBorder="1" applyAlignment="1"/>
    <xf numFmtId="165" fontId="3" fillId="0" borderId="3" xfId="0" applyNumberFormat="1" applyFont="1" applyBorder="1" applyAlignment="1"/>
    <xf numFmtId="0" fontId="4" fillId="3" borderId="5" xfId="0" applyNumberFormat="1" applyFont="1" applyFill="1" applyBorder="1" applyAlignment="1"/>
    <xf numFmtId="0" fontId="3" fillId="3" borderId="5" xfId="0" applyNumberFormat="1" applyFont="1" applyFill="1" applyBorder="1" applyAlignment="1"/>
    <xf numFmtId="0" fontId="4" fillId="3" borderId="0" xfId="0" applyNumberFormat="1" applyFont="1" applyFill="1" applyAlignment="1"/>
    <xf numFmtId="0" fontId="4" fillId="3" borderId="2" xfId="0" applyNumberFormat="1" applyFont="1" applyFill="1" applyBorder="1" applyAlignment="1">
      <alignment horizontal="right"/>
    </xf>
    <xf numFmtId="0" fontId="4" fillId="3" borderId="0" xfId="0" applyNumberFormat="1" applyFont="1" applyFill="1" applyBorder="1" applyAlignment="1">
      <alignment horizontal="right"/>
    </xf>
    <xf numFmtId="0" fontId="4" fillId="3" borderId="3" xfId="0" applyNumberFormat="1" applyFont="1" applyFill="1" applyBorder="1" applyAlignment="1">
      <alignment horizontal="right"/>
    </xf>
    <xf numFmtId="14" fontId="2" fillId="0" borderId="0" xfId="0" applyNumberFormat="1" applyFont="1" applyAlignment="1"/>
    <xf numFmtId="0" fontId="3" fillId="0" borderId="3" xfId="0" applyNumberFormat="1" applyFont="1" applyBorder="1" applyAlignment="1"/>
    <xf numFmtId="0" fontId="8" fillId="0" borderId="0" xfId="0" applyFont="1"/>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9" fillId="0" borderId="0" xfId="3" applyFont="1" applyAlignment="1" applyProtection="1">
      <alignment vertical="top"/>
    </xf>
    <xf numFmtId="14" fontId="0" fillId="0" borderId="0" xfId="0" applyNumberFormat="1"/>
    <xf numFmtId="14" fontId="4" fillId="3" borderId="6" xfId="0" applyNumberFormat="1" applyFont="1" applyFill="1" applyBorder="1" applyAlignment="1">
      <alignment horizontal="center"/>
    </xf>
    <xf numFmtId="14" fontId="4" fillId="3" borderId="5" xfId="0" applyNumberFormat="1" applyFont="1" applyFill="1" applyBorder="1" applyAlignment="1">
      <alignment horizontal="center"/>
    </xf>
    <xf numFmtId="14" fontId="4" fillId="3" borderId="4" xfId="0" applyNumberFormat="1" applyFont="1" applyFill="1" applyBorder="1" applyAlignment="1">
      <alignment horizontal="center"/>
    </xf>
    <xf numFmtId="0" fontId="1" fillId="0" borderId="0" xfId="1" applyNumberFormat="1" applyBorder="1" applyAlignment="1">
      <alignment horizontal="left"/>
    </xf>
  </cellXfs>
  <cellStyles count="9">
    <cellStyle name="Comma 2" xfId="4"/>
    <cellStyle name="Heading 1" xfId="1" builtinId="16"/>
    <cellStyle name="Hyperlink" xfId="3" builtinId="8"/>
    <cellStyle name="Hyperlink 3" xfId="8"/>
    <cellStyle name="Normal" xfId="0" builtinId="0"/>
    <cellStyle name="Normal 2" xfId="5"/>
    <cellStyle name="Normal 2 2" xfId="6"/>
    <cellStyle name="Normal 2 3" xfId="7"/>
    <cellStyle name="Normal 2 4" xfId="2"/>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workbookViewId="0"/>
  </sheetViews>
  <sheetFormatPr defaultColWidth="9.140625" defaultRowHeight="14.25" x14ac:dyDescent="0.25"/>
  <cols>
    <col min="1" max="1" width="4.42578125" style="20" hidden="1" customWidth="1"/>
    <col min="2" max="2" width="9.140625" style="20"/>
    <col min="3" max="3" width="32" style="21" bestFit="1" customWidth="1"/>
    <col min="4" max="4" width="77.28515625" style="22" customWidth="1"/>
    <col min="5" max="5" width="10.140625" style="21" customWidth="1"/>
    <col min="6" max="16384" width="9.140625" style="20"/>
  </cols>
  <sheetData>
    <row r="1" spans="1:5" ht="14.25" hidden="1" customHeight="1" x14ac:dyDescent="0.25">
      <c r="A1" s="20" t="s">
        <v>40</v>
      </c>
    </row>
    <row r="7" spans="1:5" ht="30.75" x14ac:dyDescent="0.25">
      <c r="C7" s="23" t="s">
        <v>41</v>
      </c>
    </row>
    <row r="9" spans="1:5" ht="85.5" x14ac:dyDescent="0.25">
      <c r="C9" s="24" t="s">
        <v>42</v>
      </c>
      <c r="D9" s="22" t="s">
        <v>1059</v>
      </c>
    </row>
    <row r="10" spans="1:5" x14ac:dyDescent="0.25">
      <c r="C10" s="24"/>
    </row>
    <row r="11" spans="1:5" x14ac:dyDescent="0.25">
      <c r="C11" s="24" t="s">
        <v>1045</v>
      </c>
      <c r="D11" s="22" t="s">
        <v>1060</v>
      </c>
    </row>
    <row r="12" spans="1:5" x14ac:dyDescent="0.25">
      <c r="C12" s="24"/>
    </row>
    <row r="13" spans="1:5" ht="42.75" x14ac:dyDescent="0.25">
      <c r="C13" s="24" t="s">
        <v>43</v>
      </c>
      <c r="D13" s="22" t="s">
        <v>1046</v>
      </c>
      <c r="E13" s="25" t="s">
        <v>675</v>
      </c>
    </row>
    <row r="14" spans="1:5" ht="16.5" customHeight="1" x14ac:dyDescent="0.25">
      <c r="C14" s="24"/>
    </row>
    <row r="15" spans="1:5" ht="28.5" x14ac:dyDescent="0.25">
      <c r="C15" s="24" t="s">
        <v>673</v>
      </c>
      <c r="D15" s="22" t="s">
        <v>1047</v>
      </c>
      <c r="E15" s="25" t="s">
        <v>674</v>
      </c>
    </row>
    <row r="16" spans="1:5" x14ac:dyDescent="0.25">
      <c r="C16" s="24"/>
    </row>
    <row r="17" spans="3:5" ht="57" x14ac:dyDescent="0.25">
      <c r="C17" s="24" t="s">
        <v>1044</v>
      </c>
      <c r="D17" s="22" t="s">
        <v>1048</v>
      </c>
      <c r="E17" s="25" t="s">
        <v>1049</v>
      </c>
    </row>
    <row r="18" spans="3:5" x14ac:dyDescent="0.25">
      <c r="C18" s="24"/>
    </row>
    <row r="19" spans="3:5" ht="28.5" x14ac:dyDescent="0.25">
      <c r="C19" s="24" t="s">
        <v>44</v>
      </c>
      <c r="D19" s="22" t="s">
        <v>1050</v>
      </c>
      <c r="E19" s="25" t="s">
        <v>1051</v>
      </c>
    </row>
    <row r="20" spans="3:5" x14ac:dyDescent="0.25">
      <c r="C20" s="24"/>
    </row>
    <row r="21" spans="3:5" x14ac:dyDescent="0.25">
      <c r="C21" s="24" t="s">
        <v>45</v>
      </c>
      <c r="D21" s="22" t="s">
        <v>1052</v>
      </c>
      <c r="E21" s="25" t="s">
        <v>1053</v>
      </c>
    </row>
    <row r="22" spans="3:5" x14ac:dyDescent="0.25">
      <c r="C22" s="24"/>
    </row>
    <row r="23" spans="3:5" x14ac:dyDescent="0.25">
      <c r="C23" s="24" t="s">
        <v>46</v>
      </c>
      <c r="D23" s="22" t="s">
        <v>1054</v>
      </c>
      <c r="E23" s="25" t="s">
        <v>1055</v>
      </c>
    </row>
    <row r="24" spans="3:5" x14ac:dyDescent="0.25">
      <c r="C24" s="24"/>
    </row>
    <row r="25" spans="3:5" ht="71.25" x14ac:dyDescent="0.25">
      <c r="C25" s="24" t="s">
        <v>1056</v>
      </c>
      <c r="D25" s="22" t="s">
        <v>1057</v>
      </c>
    </row>
    <row r="26" spans="3:5" x14ac:dyDescent="0.25">
      <c r="C26" s="24"/>
    </row>
    <row r="27" spans="3:5" x14ac:dyDescent="0.25">
      <c r="C27" s="24" t="s">
        <v>47</v>
      </c>
      <c r="D27" s="22" t="s">
        <v>1058</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x14ac:dyDescent="0.25"/>
  <cols>
    <col min="1" max="1" width="9.140625" hidden="1" customWidth="1"/>
    <col min="2" max="2" width="13.140625" bestFit="1" customWidth="1"/>
    <col min="3" max="3" width="9.7109375" bestFit="1" customWidth="1"/>
  </cols>
  <sheetData>
    <row r="1" spans="1:7" hidden="1" x14ac:dyDescent="0.25">
      <c r="A1" s="1" t="s">
        <v>1122</v>
      </c>
      <c r="B1" s="1" t="s">
        <v>0</v>
      </c>
      <c r="C1" s="1" t="s">
        <v>1</v>
      </c>
      <c r="D1" s="1" t="s">
        <v>2</v>
      </c>
      <c r="E1" s="1" t="s">
        <v>676</v>
      </c>
      <c r="F1" s="1"/>
      <c r="G1" s="1"/>
    </row>
    <row r="2" spans="1:7" x14ac:dyDescent="0.25">
      <c r="A2" s="1"/>
    </row>
    <row r="3" spans="1:7" x14ac:dyDescent="0.25">
      <c r="A3" s="1" t="s">
        <v>3</v>
      </c>
      <c r="B3" s="2" t="s">
        <v>4</v>
      </c>
      <c r="C3" s="3" t="str">
        <f>"01/01/2018"</f>
        <v>01/01/2018</v>
      </c>
      <c r="D3" s="2"/>
      <c r="E3" s="2" t="s">
        <v>677</v>
      </c>
      <c r="F3" s="4" t="str">
        <f>"1/1/2018..6/1/2018"</f>
        <v>1/1/2018..6/1/2018</v>
      </c>
    </row>
    <row r="4" spans="1:7" x14ac:dyDescent="0.25">
      <c r="A4" s="1" t="s">
        <v>3</v>
      </c>
      <c r="B4" s="2" t="s">
        <v>5</v>
      </c>
      <c r="C4" s="3" t="str">
        <f>"06/01/2018"</f>
        <v>06/01/2018</v>
      </c>
      <c r="D4" s="2"/>
      <c r="E4" s="2" t="s">
        <v>677</v>
      </c>
    </row>
    <row r="5" spans="1:7" x14ac:dyDescent="0.25">
      <c r="A5" s="1" t="s">
        <v>3</v>
      </c>
      <c r="B5" s="2" t="s">
        <v>6</v>
      </c>
      <c r="C5" s="4" t="str">
        <f>"60000..70000"</f>
        <v>60000..70000</v>
      </c>
      <c r="D5" s="2" t="str">
        <f>"Lookup"</f>
        <v>Lookup</v>
      </c>
      <c r="E5" s="2"/>
    </row>
    <row r="6" spans="1:7" x14ac:dyDescent="0.25">
      <c r="A6" s="1" t="s">
        <v>3</v>
      </c>
      <c r="B6" s="2" t="s">
        <v>11</v>
      </c>
      <c r="C6" s="4" t="str">
        <f>"2018"</f>
        <v>2018</v>
      </c>
      <c r="D6" s="2" t="str">
        <f>"Lookup"</f>
        <v>Lookup</v>
      </c>
      <c r="E6" s="2"/>
    </row>
    <row r="7" spans="1:7" x14ac:dyDescent="0.25">
      <c r="A7" s="1" t="s">
        <v>3</v>
      </c>
      <c r="B7" s="2" t="s">
        <v>20</v>
      </c>
      <c r="C7" s="3" t="s">
        <v>21</v>
      </c>
      <c r="D7" s="2" t="str">
        <f>"Lookup"</f>
        <v>Lookup</v>
      </c>
      <c r="E7" s="2"/>
    </row>
    <row r="8" spans="1:7" x14ac:dyDescent="0.25">
      <c r="A8" s="1" t="s">
        <v>3</v>
      </c>
      <c r="B8" s="2" t="s">
        <v>32</v>
      </c>
      <c r="C8" t="str">
        <f>"Yes"</f>
        <v>Yes</v>
      </c>
      <c r="D8" s="2" t="str">
        <f>"Lookup"</f>
        <v>Lookup</v>
      </c>
      <c r="E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showGridLines="0" topLeftCell="C2" zoomScaleNormal="100" workbookViewId="0">
      <selection activeCell="ALL1000" sqref="ALL1000"/>
    </sheetView>
  </sheetViews>
  <sheetFormatPr defaultRowHeight="15" x14ac:dyDescent="0.25"/>
  <cols>
    <col min="1" max="1" width="9.140625" style="5" hidden="1" customWidth="1"/>
    <col min="2" max="2" width="4.5703125" hidden="1" customWidth="1"/>
    <col min="3" max="3" width="9.140625" style="5" customWidth="1"/>
    <col min="4" max="5" width="4.5703125" hidden="1" customWidth="1"/>
    <col min="6" max="6" width="8.28515625" hidden="1" customWidth="1"/>
    <col min="7" max="8" width="4.5703125" hidden="1" customWidth="1"/>
    <col min="9" max="9" width="35.28515625" bestFit="1" customWidth="1"/>
    <col min="10" max="10" width="18.85546875" bestFit="1" customWidth="1"/>
    <col min="11" max="12" width="12.28515625" bestFit="1" customWidth="1"/>
    <col min="13" max="13" width="10.5703125" bestFit="1" customWidth="1"/>
    <col min="14" max="14" width="6" bestFit="1" customWidth="1"/>
    <col min="15" max="15" width="2.42578125" customWidth="1"/>
    <col min="16" max="17" width="11.5703125" bestFit="1" customWidth="1"/>
    <col min="18" max="18" width="10.5703125" bestFit="1" customWidth="1"/>
    <col min="19" max="19" width="8.5703125" bestFit="1" customWidth="1"/>
    <col min="20" max="20" width="2.42578125" customWidth="1"/>
    <col min="21" max="22" width="11.5703125" bestFit="1" customWidth="1"/>
    <col min="23" max="23" width="9.85546875" bestFit="1" customWidth="1"/>
    <col min="24" max="24" width="8.5703125" bestFit="1" customWidth="1"/>
    <col min="25" max="25" width="2.42578125" customWidth="1"/>
    <col min="26" max="27" width="11.5703125" bestFit="1" customWidth="1"/>
    <col min="28" max="28" width="9.85546875" bestFit="1" customWidth="1"/>
    <col min="29" max="29" width="8.5703125" bestFit="1" customWidth="1"/>
    <col min="30" max="30" width="2.42578125" customWidth="1"/>
    <col min="31" max="32" width="11.5703125" bestFit="1" customWidth="1"/>
    <col min="33" max="33" width="9.85546875" bestFit="1" customWidth="1"/>
    <col min="34" max="34" width="8.5703125" bestFit="1" customWidth="1"/>
    <col min="35" max="35" width="2.42578125" customWidth="1"/>
    <col min="36" max="36" width="12.28515625" bestFit="1" customWidth="1"/>
    <col min="37" max="38" width="11.5703125" bestFit="1" customWidth="1"/>
    <col min="39" max="39" width="8.5703125" bestFit="1" customWidth="1"/>
    <col min="40" max="40" width="2.42578125" customWidth="1"/>
  </cols>
  <sheetData>
    <row r="1" spans="1:40" s="5" customFormat="1" hidden="1" x14ac:dyDescent="0.25">
      <c r="A1" s="5" t="s">
        <v>1124</v>
      </c>
      <c r="B1" s="5" t="s">
        <v>16</v>
      </c>
      <c r="D1" s="5" t="s">
        <v>14</v>
      </c>
      <c r="E1" s="5" t="s">
        <v>14</v>
      </c>
      <c r="F1" s="5" t="s">
        <v>14</v>
      </c>
      <c r="G1" s="5" t="s">
        <v>14</v>
      </c>
      <c r="H1" s="5" t="s">
        <v>14</v>
      </c>
      <c r="I1" s="5" t="s">
        <v>15</v>
      </c>
      <c r="K1" s="5" t="s">
        <v>15</v>
      </c>
      <c r="L1" s="5" t="s">
        <v>15</v>
      </c>
      <c r="M1" s="5" t="s">
        <v>15</v>
      </c>
      <c r="N1" s="5" t="s">
        <v>15</v>
      </c>
      <c r="P1" s="5" t="s">
        <v>26</v>
      </c>
      <c r="Q1" s="5" t="s">
        <v>26</v>
      </c>
      <c r="R1" s="5" t="s">
        <v>26</v>
      </c>
      <c r="S1" s="5" t="s">
        <v>26</v>
      </c>
      <c r="T1" s="5" t="s">
        <v>27</v>
      </c>
      <c r="U1" s="5" t="s">
        <v>26</v>
      </c>
      <c r="V1" s="5" t="s">
        <v>26</v>
      </c>
      <c r="W1" s="5" t="s">
        <v>26</v>
      </c>
      <c r="X1" s="5" t="s">
        <v>26</v>
      </c>
      <c r="Y1" s="5" t="s">
        <v>27</v>
      </c>
      <c r="Z1" s="5" t="s">
        <v>26</v>
      </c>
      <c r="AA1" s="5" t="s">
        <v>26</v>
      </c>
      <c r="AB1" s="5" t="s">
        <v>26</v>
      </c>
      <c r="AC1" s="5" t="s">
        <v>26</v>
      </c>
      <c r="AD1" s="5" t="s">
        <v>27</v>
      </c>
      <c r="AE1" s="5" t="s">
        <v>26</v>
      </c>
      <c r="AF1" s="5" t="s">
        <v>26</v>
      </c>
      <c r="AG1" s="5" t="s">
        <v>26</v>
      </c>
      <c r="AH1" s="5" t="s">
        <v>26</v>
      </c>
      <c r="AI1" s="5" t="s">
        <v>27</v>
      </c>
      <c r="AJ1" s="5" t="s">
        <v>26</v>
      </c>
      <c r="AK1" s="5" t="s">
        <v>26</v>
      </c>
      <c r="AL1" s="5" t="s">
        <v>26</v>
      </c>
      <c r="AM1" s="5" t="s">
        <v>26</v>
      </c>
      <c r="AN1" s="5" t="s">
        <v>27</v>
      </c>
    </row>
    <row r="2" spans="1:40" ht="19.5" x14ac:dyDescent="0.3">
      <c r="I2" s="30" t="s">
        <v>18</v>
      </c>
      <c r="J2" s="30"/>
      <c r="K2" s="30"/>
      <c r="L2" s="30"/>
      <c r="M2" s="30"/>
      <c r="N2" s="30"/>
    </row>
    <row r="3" spans="1:40" x14ac:dyDescent="0.25">
      <c r="I3" s="4" t="str">
        <f>""</f>
        <v/>
      </c>
      <c r="J3" s="4"/>
    </row>
    <row r="4" spans="1:40" x14ac:dyDescent="0.25">
      <c r="I4" s="4" t="s">
        <v>38</v>
      </c>
      <c r="J4" s="4" t="str">
        <f>PeriodType</f>
        <v>Month</v>
      </c>
    </row>
    <row r="5" spans="1:40" x14ac:dyDescent="0.25">
      <c r="I5" s="4" t="s">
        <v>28</v>
      </c>
      <c r="J5" s="4" t="str">
        <f>"1/1/2018..6/1/2018"</f>
        <v>1/1/2018..6/1/2018</v>
      </c>
    </row>
    <row r="6" spans="1:40" x14ac:dyDescent="0.25">
      <c r="I6" s="4" t="s">
        <v>29</v>
      </c>
      <c r="J6" s="7">
        <v>43417</v>
      </c>
    </row>
    <row r="7" spans="1:40" x14ac:dyDescent="0.25">
      <c r="I7" s="4"/>
      <c r="J7" s="7"/>
    </row>
    <row r="8" spans="1:40" hidden="1" x14ac:dyDescent="0.25">
      <c r="A8" s="5" t="s">
        <v>14</v>
      </c>
      <c r="I8" s="4"/>
      <c r="J8" s="4"/>
      <c r="K8" s="18">
        <v>43101</v>
      </c>
      <c r="L8" s="18">
        <f>K8</f>
        <v>43101</v>
      </c>
      <c r="P8" s="18">
        <v>43132</v>
      </c>
      <c r="Q8" s="18">
        <f>P8</f>
        <v>43132</v>
      </c>
      <c r="U8" s="18">
        <v>43160</v>
      </c>
      <c r="V8" s="18">
        <f>U8</f>
        <v>43160</v>
      </c>
      <c r="Z8" s="18">
        <v>43191</v>
      </c>
      <c r="AA8" s="18">
        <f>Z8</f>
        <v>43191</v>
      </c>
      <c r="AE8" s="18">
        <v>43221</v>
      </c>
      <c r="AF8" s="18">
        <f>AE8</f>
        <v>43221</v>
      </c>
      <c r="AJ8" s="18">
        <v>43252</v>
      </c>
      <c r="AK8" s="18">
        <f>AJ8</f>
        <v>43252</v>
      </c>
    </row>
    <row r="9" spans="1:40" hidden="1" x14ac:dyDescent="0.25">
      <c r="A9" s="5" t="s">
        <v>14</v>
      </c>
      <c r="I9" s="4"/>
      <c r="J9" s="4"/>
      <c r="K9" s="18">
        <v>43131</v>
      </c>
      <c r="L9" s="18">
        <f>K9</f>
        <v>43131</v>
      </c>
      <c r="P9" s="18">
        <v>43159</v>
      </c>
      <c r="Q9" s="18">
        <f>P9</f>
        <v>43159</v>
      </c>
      <c r="U9" s="18">
        <v>43190</v>
      </c>
      <c r="V9" s="18">
        <f>U9</f>
        <v>43190</v>
      </c>
      <c r="Z9" s="18">
        <v>43220</v>
      </c>
      <c r="AA9" s="18">
        <f>Z9</f>
        <v>43220</v>
      </c>
      <c r="AE9" s="18">
        <v>43251</v>
      </c>
      <c r="AF9" s="18">
        <f>AE9</f>
        <v>43251</v>
      </c>
      <c r="AJ9" s="18">
        <v>43281</v>
      </c>
      <c r="AK9" s="18">
        <f>AJ9</f>
        <v>43281</v>
      </c>
    </row>
    <row r="10" spans="1:40" ht="15.75" thickBot="1" x14ac:dyDescent="0.3">
      <c r="I10" s="13"/>
      <c r="J10" s="12" t="s">
        <v>31</v>
      </c>
      <c r="K10" s="27">
        <f>K8</f>
        <v>43101</v>
      </c>
      <c r="L10" s="28"/>
      <c r="M10" s="28"/>
      <c r="N10" s="29"/>
      <c r="P10" s="27">
        <f>P8</f>
        <v>43132</v>
      </c>
      <c r="Q10" s="28"/>
      <c r="R10" s="28"/>
      <c r="S10" s="29"/>
      <c r="U10" s="27">
        <f>U8</f>
        <v>43160</v>
      </c>
      <c r="V10" s="28"/>
      <c r="W10" s="28"/>
      <c r="X10" s="29"/>
      <c r="Z10" s="27">
        <f>Z8</f>
        <v>43191</v>
      </c>
      <c r="AA10" s="28"/>
      <c r="AB10" s="28"/>
      <c r="AC10" s="29"/>
      <c r="AE10" s="27">
        <f>AE8</f>
        <v>43221</v>
      </c>
      <c r="AF10" s="28"/>
      <c r="AG10" s="28"/>
      <c r="AH10" s="29"/>
      <c r="AJ10" s="27">
        <f>AJ8</f>
        <v>43252</v>
      </c>
      <c r="AK10" s="28"/>
      <c r="AL10" s="28"/>
      <c r="AM10" s="29"/>
    </row>
    <row r="11" spans="1:40" x14ac:dyDescent="0.25">
      <c r="D11" s="1"/>
      <c r="E11" s="1" t="s">
        <v>7</v>
      </c>
      <c r="F11" s="1" t="s">
        <v>17</v>
      </c>
      <c r="G11" s="1" t="s">
        <v>8</v>
      </c>
      <c r="H11" s="1" t="s">
        <v>48</v>
      </c>
      <c r="I11" s="14" t="s">
        <v>9</v>
      </c>
      <c r="J11" s="14"/>
      <c r="K11" s="15" t="s">
        <v>10</v>
      </c>
      <c r="L11" s="16" t="s">
        <v>19</v>
      </c>
      <c r="M11" s="16" t="s">
        <v>12</v>
      </c>
      <c r="N11" s="17" t="s">
        <v>13</v>
      </c>
      <c r="P11" s="15" t="s">
        <v>10</v>
      </c>
      <c r="Q11" s="16" t="s">
        <v>19</v>
      </c>
      <c r="R11" s="16" t="s">
        <v>12</v>
      </c>
      <c r="S11" s="17" t="s">
        <v>13</v>
      </c>
      <c r="U11" s="15" t="s">
        <v>10</v>
      </c>
      <c r="V11" s="16" t="s">
        <v>19</v>
      </c>
      <c r="W11" s="16" t="s">
        <v>12</v>
      </c>
      <c r="X11" s="17" t="s">
        <v>13</v>
      </c>
      <c r="Z11" s="15" t="s">
        <v>10</v>
      </c>
      <c r="AA11" s="16" t="s">
        <v>19</v>
      </c>
      <c r="AB11" s="16" t="s">
        <v>12</v>
      </c>
      <c r="AC11" s="17" t="s">
        <v>13</v>
      </c>
      <c r="AE11" s="15" t="s">
        <v>10</v>
      </c>
      <c r="AF11" s="16" t="s">
        <v>19</v>
      </c>
      <c r="AG11" s="16" t="s">
        <v>12</v>
      </c>
      <c r="AH11" s="17" t="s">
        <v>13</v>
      </c>
      <c r="AJ11" s="15" t="s">
        <v>10</v>
      </c>
      <c r="AK11" s="16" t="s">
        <v>19</v>
      </c>
      <c r="AL11" s="16" t="s">
        <v>12</v>
      </c>
      <c r="AM11" s="17" t="s">
        <v>13</v>
      </c>
    </row>
    <row r="12" spans="1:40" x14ac:dyDescent="0.25">
      <c r="B12" s="5" t="str">
        <f>IF(AND(Heading=FALSE,BlankZero="Yes",MIN(K12:AP12)=0,MAX(K12:AP12)=0),"Hide","Show")</f>
        <v>Show</v>
      </c>
      <c r="D12" s="1" t="str">
        <f>"""NAV Direct"",""CRONUS JetCorp USA"",""15"",""1"",""60000"""</f>
        <v>"NAV Direct","CRONUS JetCorp USA","15","1","60000"</v>
      </c>
      <c r="E12" s="1" t="str">
        <f>"Begin-Total"</f>
        <v>Begin-Total</v>
      </c>
      <c r="F12" s="1" t="b">
        <f>OR(AccountType="Heading",AccountType="Begin-Total")</f>
        <v>1</v>
      </c>
      <c r="G12" s="1">
        <v>1</v>
      </c>
      <c r="H12" s="1" t="str">
        <f>IF(E12="Posting",_xll.NF(D12,"1 No."),IF(OR(E12="Total",E12="End-Total"),_xll.NF(D12,"34 Totaling"),"0"))</f>
        <v>0</v>
      </c>
      <c r="I12" s="4" t="str">
        <f>"     Operating Expenses"</f>
        <v xml:space="preserve">     Operating Expenses</v>
      </c>
      <c r="J12" s="19"/>
      <c r="K12" s="8">
        <v>0</v>
      </c>
      <c r="L12" s="9">
        <v>0</v>
      </c>
      <c r="M12" s="10">
        <f>K12-L12</f>
        <v>0</v>
      </c>
      <c r="N12" s="11" t="str">
        <f>IF(K12=0,"",ROUND((M12/K12),2))</f>
        <v/>
      </c>
      <c r="P12" s="8">
        <v>0</v>
      </c>
      <c r="Q12" s="9">
        <v>0</v>
      </c>
      <c r="R12" s="10">
        <f>P12-Q12</f>
        <v>0</v>
      </c>
      <c r="S12" s="11" t="str">
        <f>IF(P12=0,"",ROUND((R12/P12),2))</f>
        <v/>
      </c>
      <c r="U12" s="8">
        <v>0</v>
      </c>
      <c r="V12" s="9">
        <v>0</v>
      </c>
      <c r="W12" s="10">
        <f>U12-V12</f>
        <v>0</v>
      </c>
      <c r="X12" s="11" t="str">
        <f>IF(U12=0,"",ROUND((W12/U12),2))</f>
        <v/>
      </c>
      <c r="Z12" s="8">
        <v>0</v>
      </c>
      <c r="AA12" s="9">
        <v>0</v>
      </c>
      <c r="AB12" s="10">
        <f>Z12-AA12</f>
        <v>0</v>
      </c>
      <c r="AC12" s="11" t="str">
        <f>IF(Z12=0,"",ROUND((AB12/Z12),2))</f>
        <v/>
      </c>
      <c r="AE12" s="8">
        <v>0</v>
      </c>
      <c r="AF12" s="9">
        <v>0</v>
      </c>
      <c r="AG12" s="10">
        <f>AE12-AF12</f>
        <v>0</v>
      </c>
      <c r="AH12" s="11" t="str">
        <f>IF(AE12=0,"",ROUND((AG12/AE12),2))</f>
        <v/>
      </c>
      <c r="AJ12" s="8">
        <v>0</v>
      </c>
      <c r="AK12" s="9">
        <v>0</v>
      </c>
      <c r="AL12" s="10">
        <f t="shared" ref="AL12" si="0">AJ12-AK12</f>
        <v>0</v>
      </c>
      <c r="AM12" s="11" t="str">
        <f t="shared" ref="AM12" si="1">IF(AJ12=0,"",ROUND((AL12/AJ12),2))</f>
        <v/>
      </c>
    </row>
    <row r="13" spans="1:40" x14ac:dyDescent="0.25">
      <c r="A13" s="5" t="s">
        <v>27</v>
      </c>
      <c r="B13" s="5" t="str">
        <f>IF(AND(Heading=FALSE,BlankZero="Yes",MIN(K13:AP13)=0,MAX(K13:AP13)=0),"Hide","Show")</f>
        <v>Show</v>
      </c>
      <c r="D13" s="1" t="str">
        <f>"""NAV Direct"",""CRONUS JetCorp USA"",""15"",""1"",""61000"""</f>
        <v>"NAV Direct","CRONUS JetCorp USA","15","1","61000"</v>
      </c>
      <c r="E13" s="1" t="str">
        <f>"Begin-Total"</f>
        <v>Begin-Total</v>
      </c>
      <c r="F13" s="1" t="b">
        <f>OR(AccountType="Heading",AccountType="Begin-Total")</f>
        <v>1</v>
      </c>
      <c r="G13" s="1">
        <v>2</v>
      </c>
      <c r="H13" s="1" t="str">
        <f>IF(E13="Posting",_xll.NF(D13,"1 No."),IF(OR(E13="Total",E13="End-Total"),_xll.NF(D13,"34 Totaling"),"0"))</f>
        <v>0</v>
      </c>
      <c r="I13" s="4" t="str">
        <f>"          Selling Expenses"</f>
        <v xml:space="preserve">          Selling Expenses</v>
      </c>
      <c r="J13" s="19"/>
      <c r="K13" s="8">
        <v>0</v>
      </c>
      <c r="L13" s="9">
        <v>0</v>
      </c>
      <c r="M13" s="10">
        <f>K13-L13</f>
        <v>0</v>
      </c>
      <c r="N13" s="11" t="str">
        <f>IF(K13=0,"",ROUND((M13/K13),2))</f>
        <v/>
      </c>
      <c r="P13" s="8">
        <v>0</v>
      </c>
      <c r="Q13" s="9">
        <v>0</v>
      </c>
      <c r="R13" s="10">
        <f>P13-Q13</f>
        <v>0</v>
      </c>
      <c r="S13" s="11" t="str">
        <f>IF(P13=0,"",ROUND((R13/P13),2))</f>
        <v/>
      </c>
      <c r="U13" s="8">
        <v>0</v>
      </c>
      <c r="V13" s="9">
        <v>0</v>
      </c>
      <c r="W13" s="10">
        <f>U13-V13</f>
        <v>0</v>
      </c>
      <c r="X13" s="11" t="str">
        <f>IF(U13=0,"",ROUND((W13/U13),2))</f>
        <v/>
      </c>
      <c r="Z13" s="8">
        <v>0</v>
      </c>
      <c r="AA13" s="9">
        <v>0</v>
      </c>
      <c r="AB13" s="10">
        <f>Z13-AA13</f>
        <v>0</v>
      </c>
      <c r="AC13" s="11" t="str">
        <f>IF(Z13=0,"",ROUND((AB13/Z13),2))</f>
        <v/>
      </c>
      <c r="AE13" s="8">
        <v>0</v>
      </c>
      <c r="AF13" s="9">
        <v>0</v>
      </c>
      <c r="AG13" s="10">
        <f>AE13-AF13</f>
        <v>0</v>
      </c>
      <c r="AH13" s="11" t="str">
        <f>IF(AE13=0,"",ROUND((AG13/AE13),2))</f>
        <v/>
      </c>
      <c r="AJ13" s="8">
        <v>0</v>
      </c>
      <c r="AK13" s="9">
        <v>0</v>
      </c>
      <c r="AL13" s="10">
        <f t="shared" ref="AL13:AL62" si="2">AJ13-AK13</f>
        <v>0</v>
      </c>
      <c r="AM13" s="11" t="str">
        <f t="shared" ref="AM13:AM62" si="3">IF(AJ13=0,"",ROUND((AL13/AJ13),2))</f>
        <v/>
      </c>
    </row>
    <row r="14" spans="1:40" x14ac:dyDescent="0.25">
      <c r="A14" s="5" t="s">
        <v>27</v>
      </c>
      <c r="B14" s="5" t="str">
        <f>IF(AND(Heading=FALSE,BlankZero="Yes",MIN(K14:AP14)=0,MAX(K14:AP14)=0),"Hide","Show")</f>
        <v>Show</v>
      </c>
      <c r="D14" s="1" t="str">
        <f>"""NAV Direct"",""CRONUS JetCorp USA"",""15"",""1"",""61100"""</f>
        <v>"NAV Direct","CRONUS JetCorp USA","15","1","61100"</v>
      </c>
      <c r="E14" s="1" t="str">
        <f>"Posting"</f>
        <v>Posting</v>
      </c>
      <c r="F14" s="1" t="b">
        <f>OR(AccountType="Heading",AccountType="Begin-Total")</f>
        <v>0</v>
      </c>
      <c r="G14" s="1">
        <v>3</v>
      </c>
      <c r="H14" s="1" t="str">
        <f>IF(E14="Posting",_xll.NF(D14,"1 No."),IF(OR(E14="Total",E14="End-Total"),_xll.NF(D14,"34 Totaling"),"0"))</f>
        <v>61100</v>
      </c>
      <c r="I14" s="4" t="str">
        <f>"               Advertising"</f>
        <v xml:space="preserve">               Advertising</v>
      </c>
      <c r="J14" s="19"/>
      <c r="K14" s="8">
        <v>21541.010000000002</v>
      </c>
      <c r="L14" s="9">
        <v>21026.94</v>
      </c>
      <c r="M14" s="10">
        <f>K14-L14</f>
        <v>514.07000000000335</v>
      </c>
      <c r="N14" s="11">
        <f>IF(K14=0,"",ROUND((M14/K14),2))</f>
        <v>0.02</v>
      </c>
      <c r="P14" s="8">
        <v>19663.189999999999</v>
      </c>
      <c r="Q14" s="9">
        <v>20643.960000000003</v>
      </c>
      <c r="R14" s="10">
        <f>P14-Q14</f>
        <v>-980.77000000000407</v>
      </c>
      <c r="S14" s="11">
        <f>IF(P14=0,"",ROUND((R14/P14),2))</f>
        <v>-0.05</v>
      </c>
      <c r="U14" s="8">
        <v>21350.969999999998</v>
      </c>
      <c r="V14" s="9">
        <v>20862.2</v>
      </c>
      <c r="W14" s="10">
        <f>U14-V14</f>
        <v>488.7699999999968</v>
      </c>
      <c r="X14" s="11">
        <f>IF(U14=0,"",ROUND((W14/U14),2))</f>
        <v>0.02</v>
      </c>
      <c r="Z14" s="8">
        <v>19876.8</v>
      </c>
      <c r="AA14" s="9">
        <v>20285.7</v>
      </c>
      <c r="AB14" s="10">
        <f>Z14-AA14</f>
        <v>-408.90000000000146</v>
      </c>
      <c r="AC14" s="11">
        <f>IF(Z14=0,"",ROUND((AB14/Z14),2))</f>
        <v>-0.02</v>
      </c>
      <c r="AE14" s="8">
        <v>20742.550000000003</v>
      </c>
      <c r="AF14" s="9">
        <v>21135.43</v>
      </c>
      <c r="AG14" s="10">
        <f>AE14-AF14</f>
        <v>-392.87999999999738</v>
      </c>
      <c r="AH14" s="11">
        <f>IF(AE14=0,"",ROUND((AG14/AE14),2))</f>
        <v>-0.02</v>
      </c>
      <c r="AJ14" s="8">
        <v>20139.82</v>
      </c>
      <c r="AK14" s="9">
        <v>20817.28</v>
      </c>
      <c r="AL14" s="10">
        <f t="shared" si="2"/>
        <v>-677.45999999999913</v>
      </c>
      <c r="AM14" s="11">
        <f t="shared" si="3"/>
        <v>-0.03</v>
      </c>
    </row>
    <row r="15" spans="1:40" x14ac:dyDescent="0.25">
      <c r="A15" s="5" t="s">
        <v>27</v>
      </c>
      <c r="B15" s="5" t="str">
        <f>IF(AND(Heading=FALSE,BlankZero="Yes",MIN(K15:AP15)=0,MAX(K15:AP15)=0),"Hide","Show")</f>
        <v>Show</v>
      </c>
      <c r="D15" s="1" t="str">
        <f>"""NAV Direct"",""CRONUS JetCorp USA"",""15"",""1"",""61150"""</f>
        <v>"NAV Direct","CRONUS JetCorp USA","15","1","61150"</v>
      </c>
      <c r="E15" s="1" t="str">
        <f>"Posting"</f>
        <v>Posting</v>
      </c>
      <c r="F15" s="1" t="b">
        <f>OR(AccountType="Heading",AccountType="Begin-Total")</f>
        <v>0</v>
      </c>
      <c r="G15" s="1">
        <v>3</v>
      </c>
      <c r="H15" s="1" t="str">
        <f>IF(E15="Posting",_xll.NF(D15,"1 No."),IF(OR(E15="Total",E15="End-Total"),_xll.NF(D15,"34 Totaling"),"0"))</f>
        <v>61150</v>
      </c>
      <c r="I15" s="4" t="str">
        <f>"               Outsourced Marketing"</f>
        <v xml:space="preserve">               Outsourced Marketing</v>
      </c>
      <c r="J15" s="19"/>
      <c r="K15" s="8">
        <v>61369.14</v>
      </c>
      <c r="L15" s="9">
        <v>59005.21</v>
      </c>
      <c r="M15" s="10">
        <f>K15-L15</f>
        <v>2363.9300000000003</v>
      </c>
      <c r="N15" s="11">
        <f>IF(K15=0,"",ROUND((M15/K15),2))</f>
        <v>0.04</v>
      </c>
      <c r="P15" s="8">
        <v>65169.440000000002</v>
      </c>
      <c r="Q15" s="9">
        <v>61281.01</v>
      </c>
      <c r="R15" s="10">
        <f>P15-Q15</f>
        <v>3888.4300000000003</v>
      </c>
      <c r="S15" s="11">
        <f>IF(P15=0,"",ROUND((R15/P15),2))</f>
        <v>0.06</v>
      </c>
      <c r="U15" s="8">
        <v>55803.600000000006</v>
      </c>
      <c r="V15" s="9">
        <v>58998.1</v>
      </c>
      <c r="W15" s="10">
        <f>U15-V15</f>
        <v>-3194.4999999999927</v>
      </c>
      <c r="X15" s="11">
        <f>IF(U15=0,"",ROUND((W15/U15),2))</f>
        <v>-0.06</v>
      </c>
      <c r="Z15" s="8">
        <v>55459.3</v>
      </c>
      <c r="AA15" s="9">
        <v>58061.83</v>
      </c>
      <c r="AB15" s="10">
        <f>Z15-AA15</f>
        <v>-2602.5299999999988</v>
      </c>
      <c r="AC15" s="11">
        <f>IF(Z15=0,"",ROUND((AB15/Z15),2))</f>
        <v>-0.05</v>
      </c>
      <c r="AE15" s="8">
        <v>59820.939999999995</v>
      </c>
      <c r="AF15" s="9">
        <v>60931.42</v>
      </c>
      <c r="AG15" s="10">
        <f>AE15-AF15</f>
        <v>-1110.4800000000032</v>
      </c>
      <c r="AH15" s="11">
        <f>IF(AE15=0,"",ROUND((AG15/AE15),2))</f>
        <v>-0.02</v>
      </c>
      <c r="AJ15" s="8">
        <v>61853.34</v>
      </c>
      <c r="AK15" s="9">
        <v>60965.869999999995</v>
      </c>
      <c r="AL15" s="10">
        <f t="shared" si="2"/>
        <v>887.47000000000116</v>
      </c>
      <c r="AM15" s="11">
        <f t="shared" si="3"/>
        <v>0.01</v>
      </c>
    </row>
    <row r="16" spans="1:40" x14ac:dyDescent="0.25">
      <c r="A16" s="5" t="s">
        <v>27</v>
      </c>
      <c r="B16" s="5" t="str">
        <f>IF(AND(Heading=FALSE,BlankZero="Yes",MIN(K16:AP16)=0,MAX(K16:AP16)=0),"Hide","Show")</f>
        <v>Show</v>
      </c>
      <c r="D16" s="1" t="str">
        <f>"""NAV Direct"",""CRONUS JetCorp USA"",""15"",""1"",""61200"""</f>
        <v>"NAV Direct","CRONUS JetCorp USA","15","1","61200"</v>
      </c>
      <c r="E16" s="1" t="str">
        <f>"Posting"</f>
        <v>Posting</v>
      </c>
      <c r="F16" s="1" t="b">
        <f>OR(AccountType="Heading",AccountType="Begin-Total")</f>
        <v>0</v>
      </c>
      <c r="G16" s="1">
        <v>3</v>
      </c>
      <c r="H16" s="1" t="str">
        <f>IF(E16="Posting",_xll.NF(D16,"1 No."),IF(OR(E16="Total",E16="End-Total"),_xll.NF(D16,"34 Totaling"),"0"))</f>
        <v>61200</v>
      </c>
      <c r="I16" s="4" t="str">
        <f>"               Entertainment and PR"</f>
        <v xml:space="preserve">               Entertainment and PR</v>
      </c>
      <c r="J16" s="19"/>
      <c r="K16" s="8">
        <v>4696.5700000000006</v>
      </c>
      <c r="L16" s="9">
        <v>4803.67</v>
      </c>
      <c r="M16" s="10">
        <f>K16-L16</f>
        <v>-107.09999999999945</v>
      </c>
      <c r="N16" s="11">
        <f>IF(K16=0,"",ROUND((M16/K16),2))</f>
        <v>-0.02</v>
      </c>
      <c r="P16" s="8">
        <v>4790.99</v>
      </c>
      <c r="Q16" s="9">
        <v>4528.6899999999996</v>
      </c>
      <c r="R16" s="10">
        <f>P16-Q16</f>
        <v>262.30000000000018</v>
      </c>
      <c r="S16" s="11">
        <f>IF(P16=0,"",ROUND((R16/P16),2))</f>
        <v>0.05</v>
      </c>
      <c r="U16" s="8">
        <v>4945.37</v>
      </c>
      <c r="V16" s="9">
        <v>5182.6500000000005</v>
      </c>
      <c r="W16" s="10">
        <f>U16-V16</f>
        <v>-237.28000000000065</v>
      </c>
      <c r="X16" s="11">
        <f>IF(U16=0,"",ROUND((W16/U16),2))</f>
        <v>-0.05</v>
      </c>
      <c r="Z16" s="8">
        <v>4672.8899999999994</v>
      </c>
      <c r="AA16" s="9">
        <v>4662.92</v>
      </c>
      <c r="AB16" s="10">
        <f>Z16-AA16</f>
        <v>9.9699999999993452</v>
      </c>
      <c r="AC16" s="11">
        <f>IF(Z16=0,"",ROUND((AB16/Z16),2))</f>
        <v>0</v>
      </c>
      <c r="AE16" s="8">
        <v>4632.59</v>
      </c>
      <c r="AF16" s="9">
        <v>4885.42</v>
      </c>
      <c r="AG16" s="10">
        <f>AE16-AF16</f>
        <v>-252.82999999999993</v>
      </c>
      <c r="AH16" s="11">
        <f>IF(AE16=0,"",ROUND((AG16/AE16),2))</f>
        <v>-0.05</v>
      </c>
      <c r="AJ16" s="8">
        <v>4424.07</v>
      </c>
      <c r="AK16" s="9">
        <v>4577.8599999999997</v>
      </c>
      <c r="AL16" s="10">
        <f t="shared" si="2"/>
        <v>-153.78999999999996</v>
      </c>
      <c r="AM16" s="11">
        <f t="shared" si="3"/>
        <v>-0.03</v>
      </c>
    </row>
    <row r="17" spans="1:39" x14ac:dyDescent="0.25">
      <c r="A17" s="5" t="s">
        <v>27</v>
      </c>
      <c r="B17" s="5" t="str">
        <f>IF(AND(Heading=FALSE,BlankZero="Yes",MIN(K17:AP17)=0,MAX(K17:AP17)=0),"Hide","Show")</f>
        <v>Show</v>
      </c>
      <c r="D17" s="1" t="str">
        <f>"""NAV Direct"",""CRONUS JetCorp USA"",""15"",""1"",""61250"""</f>
        <v>"NAV Direct","CRONUS JetCorp USA","15","1","61250"</v>
      </c>
      <c r="E17" s="1" t="str">
        <f>"Posting"</f>
        <v>Posting</v>
      </c>
      <c r="F17" s="1" t="b">
        <f>OR(AccountType="Heading",AccountType="Begin-Total")</f>
        <v>0</v>
      </c>
      <c r="G17" s="1">
        <v>3</v>
      </c>
      <c r="H17" s="1" t="str">
        <f>IF(E17="Posting",_xll.NF(D17,"1 No."),IF(OR(E17="Total",E17="End-Total"),_xll.NF(D17,"34 Totaling"),"0"))</f>
        <v>61250</v>
      </c>
      <c r="I17" s="4" t="str">
        <f>"               Sales Promotions"</f>
        <v xml:space="preserve">               Sales Promotions</v>
      </c>
      <c r="J17" s="19"/>
      <c r="K17" s="8">
        <v>7206.2699999999995</v>
      </c>
      <c r="L17" s="9">
        <v>7356.8200000000006</v>
      </c>
      <c r="M17" s="10">
        <f>K17-L17</f>
        <v>-150.55000000000109</v>
      </c>
      <c r="N17" s="11">
        <f>IF(K17=0,"",ROUND((M17/K17),2))</f>
        <v>-0.02</v>
      </c>
      <c r="P17" s="8">
        <v>7130.0199999999995</v>
      </c>
      <c r="Q17" s="9">
        <v>6832.47</v>
      </c>
      <c r="R17" s="10">
        <f>P17-Q17</f>
        <v>297.54999999999927</v>
      </c>
      <c r="S17" s="11">
        <f>IF(P17=0,"",ROUND((R17/P17),2))</f>
        <v>0.04</v>
      </c>
      <c r="U17" s="8">
        <v>7480.99</v>
      </c>
      <c r="V17" s="9">
        <v>8022.17</v>
      </c>
      <c r="W17" s="10">
        <f>U17-V17</f>
        <v>-541.18000000000029</v>
      </c>
      <c r="X17" s="11">
        <f>IF(U17=0,"",ROUND((W17/U17),2))</f>
        <v>-7.0000000000000007E-2</v>
      </c>
      <c r="Z17" s="8">
        <v>7889.4</v>
      </c>
      <c r="AA17" s="9">
        <v>7543.82</v>
      </c>
      <c r="AB17" s="10">
        <f>Z17-AA17</f>
        <v>345.57999999999993</v>
      </c>
      <c r="AC17" s="11">
        <f>IF(Z17=0,"",ROUND((AB17/Z17),2))</f>
        <v>0.04</v>
      </c>
      <c r="AE17" s="8">
        <v>6808.93</v>
      </c>
      <c r="AF17" s="9">
        <v>7380.82</v>
      </c>
      <c r="AG17" s="10">
        <f>AE17-AF17</f>
        <v>-571.88999999999942</v>
      </c>
      <c r="AH17" s="11">
        <f>IF(AE17=0,"",ROUND((AG17/AE17),2))</f>
        <v>-0.08</v>
      </c>
      <c r="AJ17" s="8">
        <v>7603.3700000000008</v>
      </c>
      <c r="AK17" s="9">
        <v>7545.82</v>
      </c>
      <c r="AL17" s="10">
        <f t="shared" si="2"/>
        <v>57.550000000001091</v>
      </c>
      <c r="AM17" s="11">
        <f t="shared" si="3"/>
        <v>0.01</v>
      </c>
    </row>
    <row r="18" spans="1:39" hidden="1" x14ac:dyDescent="0.25">
      <c r="A18" s="5" t="s">
        <v>27</v>
      </c>
      <c r="B18" s="5" t="str">
        <f>IF(AND(Heading=FALSE,BlankZero="Yes",MIN(K18:AP18)=0,MAX(K18:AP18)=0),"Hide","Show")</f>
        <v>Hide</v>
      </c>
      <c r="D18" s="1" t="str">
        <f>"""NAV Direct"",""CRONUS JetCorp USA"",""15"",""1"",""61300"""</f>
        <v>"NAV Direct","CRONUS JetCorp USA","15","1","61300"</v>
      </c>
      <c r="E18" s="1" t="str">
        <f>"Posting"</f>
        <v>Posting</v>
      </c>
      <c r="F18" s="1" t="b">
        <f>OR(AccountType="Heading",AccountType="Begin-Total")</f>
        <v>0</v>
      </c>
      <c r="G18" s="1">
        <v>3</v>
      </c>
      <c r="H18" s="1" t="str">
        <f>IF(E18="Posting",_xll.NF(D18,"1 No."),IF(OR(E18="Total",E18="End-Total"),_xll.NF(D18,"34 Totaling"),"0"))</f>
        <v>61300</v>
      </c>
      <c r="I18" s="4" t="str">
        <f>"               Travel"</f>
        <v xml:space="preserve">               Travel</v>
      </c>
      <c r="J18" s="19"/>
      <c r="K18" s="8">
        <v>0</v>
      </c>
      <c r="L18" s="9">
        <v>0</v>
      </c>
      <c r="M18" s="10">
        <f>K18-L18</f>
        <v>0</v>
      </c>
      <c r="N18" s="11" t="str">
        <f>IF(K18=0,"",ROUND((M18/K18),2))</f>
        <v/>
      </c>
      <c r="P18" s="8">
        <v>0</v>
      </c>
      <c r="Q18" s="9">
        <v>0</v>
      </c>
      <c r="R18" s="10">
        <f>P18-Q18</f>
        <v>0</v>
      </c>
      <c r="S18" s="11" t="str">
        <f>IF(P18=0,"",ROUND((R18/P18),2))</f>
        <v/>
      </c>
      <c r="U18" s="8">
        <v>0</v>
      </c>
      <c r="V18" s="9">
        <v>0</v>
      </c>
      <c r="W18" s="10">
        <f>U18-V18</f>
        <v>0</v>
      </c>
      <c r="X18" s="11" t="str">
        <f>IF(U18=0,"",ROUND((W18/U18),2))</f>
        <v/>
      </c>
      <c r="Z18" s="8">
        <v>0</v>
      </c>
      <c r="AA18" s="9">
        <v>0</v>
      </c>
      <c r="AB18" s="10">
        <f>Z18-AA18</f>
        <v>0</v>
      </c>
      <c r="AC18" s="11" t="str">
        <f>IF(Z18=0,"",ROUND((AB18/Z18),2))</f>
        <v/>
      </c>
      <c r="AE18" s="8">
        <v>0</v>
      </c>
      <c r="AF18" s="9">
        <v>0</v>
      </c>
      <c r="AG18" s="10">
        <f>AE18-AF18</f>
        <v>0</v>
      </c>
      <c r="AH18" s="11" t="str">
        <f>IF(AE18=0,"",ROUND((AG18/AE18),2))</f>
        <v/>
      </c>
      <c r="AJ18" s="8">
        <v>0</v>
      </c>
      <c r="AK18" s="9">
        <v>0</v>
      </c>
      <c r="AL18" s="10">
        <f t="shared" si="2"/>
        <v>0</v>
      </c>
      <c r="AM18" s="11" t="str">
        <f t="shared" si="3"/>
        <v/>
      </c>
    </row>
    <row r="19" spans="1:39" x14ac:dyDescent="0.25">
      <c r="A19" s="5" t="s">
        <v>27</v>
      </c>
      <c r="B19" s="5" t="str">
        <f>IF(AND(Heading=FALSE,BlankZero="Yes",MIN(K19:AP19)=0,MAX(K19:AP19)=0),"Hide","Show")</f>
        <v>Show</v>
      </c>
      <c r="D19" s="1" t="str">
        <f>"""NAV Direct"",""CRONUS JetCorp USA"",""15"",""1"",""61350"""</f>
        <v>"NAV Direct","CRONUS JetCorp USA","15","1","61350"</v>
      </c>
      <c r="E19" s="1" t="str">
        <f>"Posting"</f>
        <v>Posting</v>
      </c>
      <c r="F19" s="1" t="b">
        <f>OR(AccountType="Heading",AccountType="Begin-Total")</f>
        <v>0</v>
      </c>
      <c r="G19" s="1">
        <v>3</v>
      </c>
      <c r="H19" s="1" t="str">
        <f>IF(E19="Posting",_xll.NF(D19,"1 No."),IF(OR(E19="Total",E19="End-Total"),_xll.NF(D19,"34 Totaling"),"0"))</f>
        <v>61350</v>
      </c>
      <c r="I19" s="4" t="str">
        <f>"               Events"</f>
        <v xml:space="preserve">               Events</v>
      </c>
      <c r="J19" s="19"/>
      <c r="K19" s="8">
        <v>0</v>
      </c>
      <c r="L19" s="9">
        <v>0</v>
      </c>
      <c r="M19" s="10">
        <f>K19-L19</f>
        <v>0</v>
      </c>
      <c r="N19" s="11" t="str">
        <f>IF(K19=0,"",ROUND((M19/K19),2))</f>
        <v/>
      </c>
      <c r="P19" s="8">
        <v>998.62000000000012</v>
      </c>
      <c r="Q19" s="9">
        <v>1085.46</v>
      </c>
      <c r="R19" s="10">
        <f>P19-Q19</f>
        <v>-86.839999999999918</v>
      </c>
      <c r="S19" s="11">
        <f>IF(P19=0,"",ROUND((R19/P19),2))</f>
        <v>-0.09</v>
      </c>
      <c r="U19" s="8">
        <v>1088.56</v>
      </c>
      <c r="V19" s="9">
        <v>1088.56</v>
      </c>
      <c r="W19" s="10">
        <f>U19-V19</f>
        <v>0</v>
      </c>
      <c r="X19" s="11">
        <f>IF(U19=0,"",ROUND((W19/U19),2))</f>
        <v>0</v>
      </c>
      <c r="Z19" s="8">
        <v>0</v>
      </c>
      <c r="AA19" s="9">
        <v>0</v>
      </c>
      <c r="AB19" s="10">
        <f>Z19-AA19</f>
        <v>0</v>
      </c>
      <c r="AC19" s="11" t="str">
        <f>IF(Z19=0,"",ROUND((AB19/Z19),2))</f>
        <v/>
      </c>
      <c r="AE19" s="8">
        <v>0</v>
      </c>
      <c r="AF19" s="9">
        <v>0</v>
      </c>
      <c r="AG19" s="10">
        <f>AE19-AF19</f>
        <v>0</v>
      </c>
      <c r="AH19" s="11" t="str">
        <f>IF(AE19=0,"",ROUND((AG19/AE19),2))</f>
        <v/>
      </c>
      <c r="AJ19" s="8">
        <v>0</v>
      </c>
      <c r="AK19" s="9">
        <v>0</v>
      </c>
      <c r="AL19" s="10">
        <f t="shared" si="2"/>
        <v>0</v>
      </c>
      <c r="AM19" s="11" t="str">
        <f t="shared" si="3"/>
        <v/>
      </c>
    </row>
    <row r="20" spans="1:39" x14ac:dyDescent="0.25">
      <c r="A20" s="5" t="s">
        <v>27</v>
      </c>
      <c r="B20" s="5" t="str">
        <f>IF(AND(Heading=FALSE,BlankZero="Yes",MIN(K20:AP20)=0,MAX(K20:AP20)=0),"Hide","Show")</f>
        <v>Show</v>
      </c>
      <c r="D20" s="1" t="str">
        <f>"""NAV Direct"",""CRONUS JetCorp USA"",""15"",""1"",""61360"""</f>
        <v>"NAV Direct","CRONUS JetCorp USA","15","1","61360"</v>
      </c>
      <c r="E20" s="1" t="str">
        <f>"Posting"</f>
        <v>Posting</v>
      </c>
      <c r="F20" s="1" t="b">
        <f>OR(AccountType="Heading",AccountType="Begin-Total")</f>
        <v>0</v>
      </c>
      <c r="G20" s="1">
        <v>3</v>
      </c>
      <c r="H20" s="1" t="str">
        <f>IF(E20="Posting",_xll.NF(D20,"1 No."),IF(OR(E20="Total",E20="End-Total"),_xll.NF(D20,"34 Totaling"),"0"))</f>
        <v>61360</v>
      </c>
      <c r="I20" s="4" t="str">
        <f>"               Delivery &amp; Shipping"</f>
        <v xml:space="preserve">               Delivery &amp; Shipping</v>
      </c>
      <c r="J20" s="19"/>
      <c r="K20" s="8">
        <v>38310.259999999995</v>
      </c>
      <c r="L20" s="9">
        <v>38498.159999999996</v>
      </c>
      <c r="M20" s="10">
        <f>K20-L20</f>
        <v>-187.90000000000146</v>
      </c>
      <c r="N20" s="11">
        <f>IF(K20=0,"",ROUND((M20/K20),2))</f>
        <v>0</v>
      </c>
      <c r="P20" s="8">
        <v>34632.379999999997</v>
      </c>
      <c r="Q20" s="9">
        <v>36909.160000000003</v>
      </c>
      <c r="R20" s="10">
        <f>P20-Q20</f>
        <v>-2276.7800000000061</v>
      </c>
      <c r="S20" s="11">
        <f>IF(P20=0,"",ROUND((R20/P20),2))</f>
        <v>-7.0000000000000007E-2</v>
      </c>
      <c r="U20" s="8">
        <v>41494.79</v>
      </c>
      <c r="V20" s="9">
        <v>40137.160000000003</v>
      </c>
      <c r="W20" s="10">
        <f>U20-V20</f>
        <v>1357.6299999999974</v>
      </c>
      <c r="X20" s="11">
        <f>IF(U20=0,"",ROUND((W20/U20),2))</f>
        <v>0.03</v>
      </c>
      <c r="Z20" s="8">
        <v>37897.49</v>
      </c>
      <c r="AA20" s="9">
        <v>36995.159999999996</v>
      </c>
      <c r="AB20" s="10">
        <f>Z20-AA20</f>
        <v>902.33000000000175</v>
      </c>
      <c r="AC20" s="11">
        <f>IF(Z20=0,"",ROUND((AB20/Z20),2))</f>
        <v>0.02</v>
      </c>
      <c r="AE20" s="8">
        <v>36657.71</v>
      </c>
      <c r="AF20" s="9">
        <v>38465.160000000003</v>
      </c>
      <c r="AG20" s="10">
        <f>AE20-AF20</f>
        <v>-1807.4500000000044</v>
      </c>
      <c r="AH20" s="11">
        <f>IF(AE20=0,"",ROUND((AG20/AE20),2))</f>
        <v>-0.05</v>
      </c>
      <c r="AJ20" s="8">
        <v>38208.68</v>
      </c>
      <c r="AK20" s="9">
        <v>38641.160000000003</v>
      </c>
      <c r="AL20" s="10">
        <f t="shared" si="2"/>
        <v>-432.4800000000032</v>
      </c>
      <c r="AM20" s="11">
        <f t="shared" si="3"/>
        <v>-0.01</v>
      </c>
    </row>
    <row r="21" spans="1:39" x14ac:dyDescent="0.25">
      <c r="A21" s="5" t="s">
        <v>27</v>
      </c>
      <c r="B21" s="5" t="str">
        <f>IF(AND(Heading=FALSE,BlankZero="Yes",MIN(K21:AP21)=0,MAX(K21:AP21)=0),"Hide","Show")</f>
        <v>Show</v>
      </c>
      <c r="D21" s="1" t="str">
        <f>"""NAV Direct"",""CRONUS JetCorp USA"",""15"",""1"",""61400"""</f>
        <v>"NAV Direct","CRONUS JetCorp USA","15","1","61400"</v>
      </c>
      <c r="E21" s="1" t="str">
        <f>"End-Total"</f>
        <v>End-Total</v>
      </c>
      <c r="F21" s="1" t="b">
        <f>OR(AccountType="Heading",AccountType="Begin-Total")</f>
        <v>0</v>
      </c>
      <c r="G21" s="1">
        <v>2</v>
      </c>
      <c r="H21" s="1" t="str">
        <f>IF(E21="Posting",_xll.NF(D21,"1 No."),IF(OR(E21="Total",E21="End-Total"),_xll.NF(D21,"34 Totaling"),"0"))</f>
        <v>61000..61400</v>
      </c>
      <c r="I21" s="4" t="str">
        <f>"          Total Selling Expenses"</f>
        <v xml:space="preserve">          Total Selling Expenses</v>
      </c>
      <c r="J21" s="19"/>
      <c r="K21" s="8">
        <v>133123.25</v>
      </c>
      <c r="L21" s="9">
        <v>130690.8</v>
      </c>
      <c r="M21" s="10">
        <f>K21-L21</f>
        <v>2432.4499999999971</v>
      </c>
      <c r="N21" s="11">
        <f>IF(K21=0,"",ROUND((M21/K21),2))</f>
        <v>0.02</v>
      </c>
      <c r="P21" s="8">
        <v>132384.63999999998</v>
      </c>
      <c r="Q21" s="9">
        <v>131280.75</v>
      </c>
      <c r="R21" s="10">
        <f>P21-Q21</f>
        <v>1103.8899999999849</v>
      </c>
      <c r="S21" s="11">
        <f>IF(P21=0,"",ROUND((R21/P21),2))</f>
        <v>0.01</v>
      </c>
      <c r="U21" s="8">
        <v>132164.28</v>
      </c>
      <c r="V21" s="9">
        <v>134290.84</v>
      </c>
      <c r="W21" s="10">
        <f>U21-V21</f>
        <v>-2126.5599999999977</v>
      </c>
      <c r="X21" s="11">
        <f>IF(U21=0,"",ROUND((W21/U21),2))</f>
        <v>-0.02</v>
      </c>
      <c r="Z21" s="8">
        <v>125795.88</v>
      </c>
      <c r="AA21" s="9">
        <v>127549.43000000001</v>
      </c>
      <c r="AB21" s="10">
        <f>Z21-AA21</f>
        <v>-1753.5500000000029</v>
      </c>
      <c r="AC21" s="11">
        <f>IF(Z21=0,"",ROUND((AB21/Z21),2))</f>
        <v>-0.01</v>
      </c>
      <c r="AE21" s="8">
        <v>128662.72</v>
      </c>
      <c r="AF21" s="9">
        <v>132798.25</v>
      </c>
      <c r="AG21" s="10">
        <f>AE21-AF21</f>
        <v>-4135.5299999999988</v>
      </c>
      <c r="AH21" s="11">
        <f>IF(AE21=0,"",ROUND((AG21/AE21),2))</f>
        <v>-0.03</v>
      </c>
      <c r="AJ21" s="8">
        <v>132229.28</v>
      </c>
      <c r="AK21" s="9">
        <v>132547.99</v>
      </c>
      <c r="AL21" s="10">
        <f t="shared" si="2"/>
        <v>-318.70999999999185</v>
      </c>
      <c r="AM21" s="11">
        <f t="shared" si="3"/>
        <v>0</v>
      </c>
    </row>
    <row r="22" spans="1:39" x14ac:dyDescent="0.25">
      <c r="A22" s="5" t="s">
        <v>27</v>
      </c>
      <c r="B22" s="5" t="str">
        <f>IF(AND(Heading=FALSE,BlankZero="Yes",MIN(K22:AP22)=0,MAX(K22:AP22)=0),"Hide","Show")</f>
        <v>Show</v>
      </c>
      <c r="D22" s="1" t="str">
        <f>"""NAV Direct"",""CRONUS JetCorp USA"",""15"",""1"",""62000"""</f>
        <v>"NAV Direct","CRONUS JetCorp USA","15","1","62000"</v>
      </c>
      <c r="E22" s="1" t="str">
        <f>"Begin-Total"</f>
        <v>Begin-Total</v>
      </c>
      <c r="F22" s="1" t="b">
        <f>OR(AccountType="Heading",AccountType="Begin-Total")</f>
        <v>1</v>
      </c>
      <c r="G22" s="1">
        <v>2</v>
      </c>
      <c r="H22" s="1" t="str">
        <f>IF(E22="Posting",_xll.NF(D22,"1 No."),IF(OR(E22="Total",E22="End-Total"),_xll.NF(D22,"34 Totaling"),"0"))</f>
        <v>0</v>
      </c>
      <c r="I22" s="4" t="str">
        <f>"          Personnel Expenses"</f>
        <v xml:space="preserve">          Personnel Expenses</v>
      </c>
      <c r="J22" s="19"/>
      <c r="K22" s="8">
        <v>0</v>
      </c>
      <c r="L22" s="9">
        <v>0</v>
      </c>
      <c r="M22" s="10">
        <f>K22-L22</f>
        <v>0</v>
      </c>
      <c r="N22" s="11" t="str">
        <f>IF(K22=0,"",ROUND((M22/K22),2))</f>
        <v/>
      </c>
      <c r="P22" s="8">
        <v>0</v>
      </c>
      <c r="Q22" s="9">
        <v>0</v>
      </c>
      <c r="R22" s="10">
        <f>P22-Q22</f>
        <v>0</v>
      </c>
      <c r="S22" s="11" t="str">
        <f>IF(P22=0,"",ROUND((R22/P22),2))</f>
        <v/>
      </c>
      <c r="U22" s="8">
        <v>0</v>
      </c>
      <c r="V22" s="9">
        <v>0</v>
      </c>
      <c r="W22" s="10">
        <f>U22-V22</f>
        <v>0</v>
      </c>
      <c r="X22" s="11" t="str">
        <f>IF(U22=0,"",ROUND((W22/U22),2))</f>
        <v/>
      </c>
      <c r="Z22" s="8">
        <v>0</v>
      </c>
      <c r="AA22" s="9">
        <v>0</v>
      </c>
      <c r="AB22" s="10">
        <f>Z22-AA22</f>
        <v>0</v>
      </c>
      <c r="AC22" s="11" t="str">
        <f>IF(Z22=0,"",ROUND((AB22/Z22),2))</f>
        <v/>
      </c>
      <c r="AE22" s="8">
        <v>0</v>
      </c>
      <c r="AF22" s="9">
        <v>0</v>
      </c>
      <c r="AG22" s="10">
        <f>AE22-AF22</f>
        <v>0</v>
      </c>
      <c r="AH22" s="11" t="str">
        <f>IF(AE22=0,"",ROUND((AG22/AE22),2))</f>
        <v/>
      </c>
      <c r="AJ22" s="8">
        <v>0</v>
      </c>
      <c r="AK22" s="9">
        <v>0</v>
      </c>
      <c r="AL22" s="10">
        <f t="shared" si="2"/>
        <v>0</v>
      </c>
      <c r="AM22" s="11" t="str">
        <f t="shared" si="3"/>
        <v/>
      </c>
    </row>
    <row r="23" spans="1:39" x14ac:dyDescent="0.25">
      <c r="A23" s="5" t="s">
        <v>27</v>
      </c>
      <c r="B23" s="5" t="str">
        <f>IF(AND(Heading=FALSE,BlankZero="Yes",MIN(K23:AP23)=0,MAX(K23:AP23)=0),"Hide","Show")</f>
        <v>Show</v>
      </c>
      <c r="D23" s="1" t="str">
        <f>"""NAV Direct"",""CRONUS JetCorp USA"",""15"",""1"",""62100"""</f>
        <v>"NAV Direct","CRONUS JetCorp USA","15","1","62100"</v>
      </c>
      <c r="E23" s="1" t="str">
        <f>"Posting"</f>
        <v>Posting</v>
      </c>
      <c r="F23" s="1" t="b">
        <f>OR(AccountType="Heading",AccountType="Begin-Total")</f>
        <v>0</v>
      </c>
      <c r="G23" s="1">
        <v>3</v>
      </c>
      <c r="H23" s="1" t="str">
        <f>IF(E23="Posting",_xll.NF(D23,"1 No."),IF(OR(E23="Total",E23="End-Total"),_xll.NF(D23,"34 Totaling"),"0"))</f>
        <v>62100</v>
      </c>
      <c r="I23" s="4" t="str">
        <f>"               Wages"</f>
        <v xml:space="preserve">               Wages</v>
      </c>
      <c r="J23" s="19"/>
      <c r="K23" s="8">
        <v>89249.099999999991</v>
      </c>
      <c r="L23" s="9">
        <v>102585.17</v>
      </c>
      <c r="M23" s="10">
        <f>K23-L23</f>
        <v>-13336.070000000007</v>
      </c>
      <c r="N23" s="11">
        <f>IF(K23=0,"",ROUND((M23/K23),2))</f>
        <v>-0.15</v>
      </c>
      <c r="P23" s="8">
        <v>86481.67</v>
      </c>
      <c r="Q23" s="9">
        <v>94001.819999999992</v>
      </c>
      <c r="R23" s="10">
        <f>P23-Q23</f>
        <v>-7520.1499999999942</v>
      </c>
      <c r="S23" s="11">
        <f>IF(P23=0,"",ROUND((R23/P23),2))</f>
        <v>-0.09</v>
      </c>
      <c r="U23" s="8">
        <v>83629.919999999998</v>
      </c>
      <c r="V23" s="9">
        <v>89924.64</v>
      </c>
      <c r="W23" s="10">
        <f>U23-V23</f>
        <v>-6294.7200000000012</v>
      </c>
      <c r="X23" s="11">
        <f>IF(U23=0,"",ROUND((W23/U23),2))</f>
        <v>-0.08</v>
      </c>
      <c r="Z23" s="8">
        <v>96628.22</v>
      </c>
      <c r="AA23" s="9">
        <v>103901.31</v>
      </c>
      <c r="AB23" s="10">
        <f>Z23-AA23</f>
        <v>-7273.0899999999965</v>
      </c>
      <c r="AC23" s="11">
        <f>IF(Z23=0,"",ROUND((AB23/Z23),2))</f>
        <v>-0.08</v>
      </c>
      <c r="AE23" s="8">
        <v>112282.25000000001</v>
      </c>
      <c r="AF23" s="9">
        <v>103965.05</v>
      </c>
      <c r="AG23" s="10">
        <f>AE23-AF23</f>
        <v>8317.2000000000116</v>
      </c>
      <c r="AH23" s="11">
        <f>IF(AE23=0,"",ROUND((AG23/AE23),2))</f>
        <v>7.0000000000000007E-2</v>
      </c>
      <c r="AJ23" s="8">
        <v>120357.38</v>
      </c>
      <c r="AK23" s="9">
        <v>125372.27</v>
      </c>
      <c r="AL23" s="10">
        <f t="shared" si="2"/>
        <v>-5014.8899999999994</v>
      </c>
      <c r="AM23" s="11">
        <f t="shared" si="3"/>
        <v>-0.04</v>
      </c>
    </row>
    <row r="24" spans="1:39" x14ac:dyDescent="0.25">
      <c r="A24" s="5" t="s">
        <v>27</v>
      </c>
      <c r="B24" s="5" t="str">
        <f>IF(AND(Heading=FALSE,BlankZero="Yes",MIN(K24:AP24)=0,MAX(K24:AP24)=0),"Hide","Show")</f>
        <v>Show</v>
      </c>
      <c r="D24" s="1" t="str">
        <f>"""NAV Direct"",""CRONUS JetCorp USA"",""15"",""1"",""62200"""</f>
        <v>"NAV Direct","CRONUS JetCorp USA","15","1","62200"</v>
      </c>
      <c r="E24" s="1" t="str">
        <f>"Posting"</f>
        <v>Posting</v>
      </c>
      <c r="F24" s="1" t="b">
        <f>OR(AccountType="Heading",AccountType="Begin-Total")</f>
        <v>0</v>
      </c>
      <c r="G24" s="1">
        <v>3</v>
      </c>
      <c r="H24" s="1" t="str">
        <f>IF(E24="Posting",_xll.NF(D24,"1 No."),IF(OR(E24="Total",E24="End-Total"),_xll.NF(D24,"34 Totaling"),"0"))</f>
        <v>62200</v>
      </c>
      <c r="I24" s="4" t="str">
        <f>"               Salaries"</f>
        <v xml:space="preserve">               Salaries</v>
      </c>
      <c r="J24" s="19"/>
      <c r="K24" s="8">
        <v>292367.73</v>
      </c>
      <c r="L24" s="9">
        <v>324853.03000000003</v>
      </c>
      <c r="M24" s="10">
        <f>K24-L24</f>
        <v>-32485.300000000047</v>
      </c>
      <c r="N24" s="11">
        <f>IF(K24=0,"",ROUND((M24/K24),2))</f>
        <v>-0.11</v>
      </c>
      <c r="P24" s="8">
        <v>285765.52999999997</v>
      </c>
      <c r="Q24" s="9">
        <v>297672.43</v>
      </c>
      <c r="R24" s="10">
        <f>P24-Q24</f>
        <v>-11906.900000000023</v>
      </c>
      <c r="S24" s="11">
        <f>IF(P24=0,"",ROUND((R24/P24),2))</f>
        <v>-0.04</v>
      </c>
      <c r="U24" s="8">
        <v>310389.88</v>
      </c>
      <c r="V24" s="9">
        <v>284761.36</v>
      </c>
      <c r="W24" s="10">
        <f>U24-V24</f>
        <v>25628.520000000019</v>
      </c>
      <c r="X24" s="11">
        <f>IF(U24=0,"",ROUND((W24/U24),2))</f>
        <v>0.08</v>
      </c>
      <c r="Z24" s="8">
        <v>342181.66000000003</v>
      </c>
      <c r="AA24" s="9">
        <v>329020.83</v>
      </c>
      <c r="AB24" s="10">
        <f>Z24-AA24</f>
        <v>13160.830000000016</v>
      </c>
      <c r="AC24" s="11">
        <f>IF(Z24=0,"",ROUND((AB24/Z24),2))</f>
        <v>0.04</v>
      </c>
      <c r="AE24" s="8">
        <v>319345.99</v>
      </c>
      <c r="AF24" s="9">
        <v>329222.67000000004</v>
      </c>
      <c r="AG24" s="10">
        <f>AE24-AF24</f>
        <v>-9876.6800000000512</v>
      </c>
      <c r="AH24" s="11">
        <f>IF(AE24=0,"",ROUND((AG24/AE24),2))</f>
        <v>-0.03</v>
      </c>
      <c r="AJ24" s="8">
        <v>357310.98</v>
      </c>
      <c r="AK24" s="9">
        <v>397012.2</v>
      </c>
      <c r="AL24" s="10">
        <f t="shared" si="2"/>
        <v>-39701.22000000003</v>
      </c>
      <c r="AM24" s="11">
        <f t="shared" si="3"/>
        <v>-0.11</v>
      </c>
    </row>
    <row r="25" spans="1:39" hidden="1" x14ac:dyDescent="0.25">
      <c r="A25" s="5" t="s">
        <v>27</v>
      </c>
      <c r="B25" s="5" t="str">
        <f>IF(AND(Heading=FALSE,BlankZero="Yes",MIN(K25:AP25)=0,MAX(K25:AP25)=0),"Hide","Show")</f>
        <v>Hide</v>
      </c>
      <c r="D25" s="1" t="str">
        <f>"""NAV Direct"",""CRONUS JetCorp USA"",""15"",""1"",""62300"""</f>
        <v>"NAV Direct","CRONUS JetCorp USA","15","1","62300"</v>
      </c>
      <c r="E25" s="1" t="str">
        <f>"Posting"</f>
        <v>Posting</v>
      </c>
      <c r="F25" s="1" t="b">
        <f>OR(AccountType="Heading",AccountType="Begin-Total")</f>
        <v>0</v>
      </c>
      <c r="G25" s="1">
        <v>3</v>
      </c>
      <c r="H25" s="1" t="str">
        <f>IF(E25="Posting",_xll.NF(D25,"1 No."),IF(OR(E25="Total",E25="End-Total"),_xll.NF(D25,"34 Totaling"),"0"))</f>
        <v>62300</v>
      </c>
      <c r="I25" s="4" t="str">
        <f>"               Retirement Plan Contributions"</f>
        <v xml:space="preserve">               Retirement Plan Contributions</v>
      </c>
      <c r="J25" s="19"/>
      <c r="K25" s="8">
        <v>0</v>
      </c>
      <c r="L25" s="9">
        <v>0</v>
      </c>
      <c r="M25" s="10">
        <f>K25-L25</f>
        <v>0</v>
      </c>
      <c r="N25" s="11" t="str">
        <f>IF(K25=0,"",ROUND((M25/K25),2))</f>
        <v/>
      </c>
      <c r="P25" s="8">
        <v>0</v>
      </c>
      <c r="Q25" s="9">
        <v>0</v>
      </c>
      <c r="R25" s="10">
        <f>P25-Q25</f>
        <v>0</v>
      </c>
      <c r="S25" s="11" t="str">
        <f>IF(P25=0,"",ROUND((R25/P25),2))</f>
        <v/>
      </c>
      <c r="U25" s="8">
        <v>0</v>
      </c>
      <c r="V25" s="9">
        <v>0</v>
      </c>
      <c r="W25" s="10">
        <f>U25-V25</f>
        <v>0</v>
      </c>
      <c r="X25" s="11" t="str">
        <f>IF(U25=0,"",ROUND((W25/U25),2))</f>
        <v/>
      </c>
      <c r="Z25" s="8">
        <v>0</v>
      </c>
      <c r="AA25" s="9">
        <v>0</v>
      </c>
      <c r="AB25" s="10">
        <f>Z25-AA25</f>
        <v>0</v>
      </c>
      <c r="AC25" s="11" t="str">
        <f>IF(Z25=0,"",ROUND((AB25/Z25),2))</f>
        <v/>
      </c>
      <c r="AE25" s="8">
        <v>0</v>
      </c>
      <c r="AF25" s="9">
        <v>0</v>
      </c>
      <c r="AG25" s="10">
        <f>AE25-AF25</f>
        <v>0</v>
      </c>
      <c r="AH25" s="11" t="str">
        <f>IF(AE25=0,"",ROUND((AG25/AE25),2))</f>
        <v/>
      </c>
      <c r="AJ25" s="8">
        <v>0</v>
      </c>
      <c r="AK25" s="9">
        <v>0</v>
      </c>
      <c r="AL25" s="10">
        <f t="shared" si="2"/>
        <v>0</v>
      </c>
      <c r="AM25" s="11" t="str">
        <f t="shared" si="3"/>
        <v/>
      </c>
    </row>
    <row r="26" spans="1:39" x14ac:dyDescent="0.25">
      <c r="A26" s="5" t="s">
        <v>27</v>
      </c>
      <c r="B26" s="5" t="str">
        <f>IF(AND(Heading=FALSE,BlankZero="Yes",MIN(K26:AP26)=0,MAX(K26:AP26)=0),"Hide","Show")</f>
        <v>Show</v>
      </c>
      <c r="D26" s="1" t="str">
        <f>"""NAV Direct"",""CRONUS JetCorp USA"",""15"",""1"",""62400"""</f>
        <v>"NAV Direct","CRONUS JetCorp USA","15","1","62400"</v>
      </c>
      <c r="E26" s="1" t="str">
        <f>"Posting"</f>
        <v>Posting</v>
      </c>
      <c r="F26" s="1" t="b">
        <f>OR(AccountType="Heading",AccountType="Begin-Total")</f>
        <v>0</v>
      </c>
      <c r="G26" s="1">
        <v>3</v>
      </c>
      <c r="H26" s="1" t="str">
        <f>IF(E26="Posting",_xll.NF(D26,"1 No."),IF(OR(E26="Total",E26="End-Total"),_xll.NF(D26,"34 Totaling"),"0"))</f>
        <v>62400</v>
      </c>
      <c r="I26" s="4" t="str">
        <f>"               Vacation Compensation"</f>
        <v xml:space="preserve">               Vacation Compensation</v>
      </c>
      <c r="J26" s="19"/>
      <c r="K26" s="8">
        <v>5881.5599999999995</v>
      </c>
      <c r="L26" s="9">
        <v>6839.02</v>
      </c>
      <c r="M26" s="10">
        <f>K26-L26</f>
        <v>-957.46000000000095</v>
      </c>
      <c r="N26" s="11">
        <f>IF(K26=0,"",ROUND((M26/K26),2))</f>
        <v>-0.16</v>
      </c>
      <c r="P26" s="8">
        <v>6580.14</v>
      </c>
      <c r="Q26" s="9">
        <v>6266.8</v>
      </c>
      <c r="R26" s="10">
        <f>P26-Q26</f>
        <v>313.34000000000015</v>
      </c>
      <c r="S26" s="11">
        <f>IF(P26=0,"",ROUND((R26/P26),2))</f>
        <v>0.05</v>
      </c>
      <c r="U26" s="8">
        <v>6474.58</v>
      </c>
      <c r="V26" s="9">
        <v>5994.98</v>
      </c>
      <c r="W26" s="10">
        <f>U26-V26</f>
        <v>479.60000000000036</v>
      </c>
      <c r="X26" s="11">
        <f>IF(U26=0,"",ROUND((W26/U26),2))</f>
        <v>7.0000000000000007E-2</v>
      </c>
      <c r="Z26" s="8">
        <v>7203.83</v>
      </c>
      <c r="AA26" s="9">
        <v>6926.76</v>
      </c>
      <c r="AB26" s="10">
        <f>Z26-AA26</f>
        <v>277.06999999999971</v>
      </c>
      <c r="AC26" s="11">
        <f>IF(Z26=0,"",ROUND((AB26/Z26),2))</f>
        <v>0.04</v>
      </c>
      <c r="AE26" s="8">
        <v>7624.1</v>
      </c>
      <c r="AF26" s="9">
        <v>6931</v>
      </c>
      <c r="AG26" s="10">
        <f>AE26-AF26</f>
        <v>693.10000000000036</v>
      </c>
      <c r="AH26" s="11">
        <f>IF(AE26=0,"",ROUND((AG26/AE26),2))</f>
        <v>0.09</v>
      </c>
      <c r="AJ26" s="8">
        <v>7856.67</v>
      </c>
      <c r="AK26" s="9">
        <v>8358.16</v>
      </c>
      <c r="AL26" s="10">
        <f t="shared" si="2"/>
        <v>-501.48999999999978</v>
      </c>
      <c r="AM26" s="11">
        <f t="shared" si="3"/>
        <v>-0.06</v>
      </c>
    </row>
    <row r="27" spans="1:39" x14ac:dyDescent="0.25">
      <c r="A27" s="5" t="s">
        <v>27</v>
      </c>
      <c r="B27" s="5" t="str">
        <f>IF(AND(Heading=FALSE,BlankZero="Yes",MIN(K27:AP27)=0,MAX(K27:AP27)=0),"Hide","Show")</f>
        <v>Show</v>
      </c>
      <c r="D27" s="1" t="str">
        <f>"""NAV Direct"",""CRONUS JetCorp USA"",""15"",""1"",""62500"""</f>
        <v>"NAV Direct","CRONUS JetCorp USA","15","1","62500"</v>
      </c>
      <c r="E27" s="1" t="str">
        <f>"Posting"</f>
        <v>Posting</v>
      </c>
      <c r="F27" s="1" t="b">
        <f>OR(AccountType="Heading",AccountType="Begin-Total")</f>
        <v>0</v>
      </c>
      <c r="G27" s="1">
        <v>3</v>
      </c>
      <c r="H27" s="1" t="str">
        <f>IF(E27="Posting",_xll.NF(D27,"1 No."),IF(OR(E27="Total",E27="End-Total"),_xll.NF(D27,"34 Totaling"),"0"))</f>
        <v>62500</v>
      </c>
      <c r="I27" s="4" t="str">
        <f>"               Payroll Taxes"</f>
        <v xml:space="preserve">               Payroll Taxes</v>
      </c>
      <c r="J27" s="19"/>
      <c r="K27" s="8">
        <v>31801.41</v>
      </c>
      <c r="L27" s="9">
        <v>34195.06</v>
      </c>
      <c r="M27" s="10">
        <f>K27-L27</f>
        <v>-2393.6499999999978</v>
      </c>
      <c r="N27" s="11">
        <f>IF(K27=0,"",ROUND((M27/K27),2))</f>
        <v>-0.08</v>
      </c>
      <c r="P27" s="8">
        <v>27260.53</v>
      </c>
      <c r="Q27" s="9">
        <v>31333.94</v>
      </c>
      <c r="R27" s="10">
        <f>P27-Q27</f>
        <v>-4073.41</v>
      </c>
      <c r="S27" s="11">
        <f>IF(P27=0,"",ROUND((R27/P27),2))</f>
        <v>-0.15</v>
      </c>
      <c r="U27" s="8">
        <v>32073.119999999999</v>
      </c>
      <c r="V27" s="9">
        <v>29974.880000000001</v>
      </c>
      <c r="W27" s="10">
        <f>U27-V27</f>
        <v>2098.239999999998</v>
      </c>
      <c r="X27" s="11">
        <f>IF(U27=0,"",ROUND((W27/U27),2))</f>
        <v>7.0000000000000007E-2</v>
      </c>
      <c r="Z27" s="8">
        <v>37404.480000000003</v>
      </c>
      <c r="AA27" s="9">
        <v>34633.780000000006</v>
      </c>
      <c r="AB27" s="10">
        <f>Z27-AA27</f>
        <v>2770.6999999999971</v>
      </c>
      <c r="AC27" s="11">
        <f>IF(Z27=0,"",ROUND((AB27/Z27),2))</f>
        <v>7.0000000000000007E-2</v>
      </c>
      <c r="AE27" s="8">
        <v>31189.52</v>
      </c>
      <c r="AF27" s="9">
        <v>34655.019999999997</v>
      </c>
      <c r="AG27" s="10">
        <f>AE27-AF27</f>
        <v>-3465.4999999999964</v>
      </c>
      <c r="AH27" s="11">
        <f>IF(AE27=0,"",ROUND((AG27/AE27),2))</f>
        <v>-0.11</v>
      </c>
      <c r="AJ27" s="8">
        <v>45134.02</v>
      </c>
      <c r="AK27" s="9">
        <v>41790.76</v>
      </c>
      <c r="AL27" s="10">
        <f t="shared" si="2"/>
        <v>3343.2599999999948</v>
      </c>
      <c r="AM27" s="11">
        <f t="shared" si="3"/>
        <v>7.0000000000000007E-2</v>
      </c>
    </row>
    <row r="28" spans="1:39" x14ac:dyDescent="0.25">
      <c r="A28" s="5" t="s">
        <v>27</v>
      </c>
      <c r="B28" s="5" t="str">
        <f>IF(AND(Heading=FALSE,BlankZero="Yes",MIN(K28:AP28)=0,MAX(K28:AP28)=0),"Hide","Show")</f>
        <v>Show</v>
      </c>
      <c r="D28" s="1" t="str">
        <f>"""NAV Direct"",""CRONUS JetCorp USA"",""15"",""1"",""62600"""</f>
        <v>"NAV Direct","CRONUS JetCorp USA","15","1","62600"</v>
      </c>
      <c r="E28" s="1" t="str">
        <f>"Posting"</f>
        <v>Posting</v>
      </c>
      <c r="F28" s="1" t="b">
        <f>OR(AccountType="Heading",AccountType="Begin-Total")</f>
        <v>0</v>
      </c>
      <c r="G28" s="1">
        <v>3</v>
      </c>
      <c r="H28" s="1" t="str">
        <f>IF(E28="Posting",_xll.NF(D28,"1 No."),IF(OR(E28="Total",E28="End-Total"),_xll.NF(D28,"34 Totaling"),"0"))</f>
        <v>62600</v>
      </c>
      <c r="I28" s="4" t="str">
        <f>"               Health Insurance"</f>
        <v xml:space="preserve">               Health Insurance</v>
      </c>
      <c r="J28" s="19"/>
      <c r="K28" s="8">
        <v>4667.63</v>
      </c>
      <c r="L28" s="9">
        <v>5129.26</v>
      </c>
      <c r="M28" s="10">
        <f>K28-L28</f>
        <v>-461.63000000000011</v>
      </c>
      <c r="N28" s="11">
        <f>IF(K28=0,"",ROUND((M28/K28),2))</f>
        <v>-0.1</v>
      </c>
      <c r="P28" s="8">
        <v>4606.1000000000004</v>
      </c>
      <c r="Q28" s="9">
        <v>4700.1000000000004</v>
      </c>
      <c r="R28" s="10">
        <f>P28-Q28</f>
        <v>-94</v>
      </c>
      <c r="S28" s="11">
        <f>IF(P28=0,"",ROUND((R28/P28),2))</f>
        <v>-0.02</v>
      </c>
      <c r="U28" s="8">
        <v>3866.77</v>
      </c>
      <c r="V28" s="9">
        <v>4496.2400000000007</v>
      </c>
      <c r="W28" s="10">
        <f>U28-V28</f>
        <v>-629.47000000000071</v>
      </c>
      <c r="X28" s="11">
        <f>IF(U28=0,"",ROUND((W28/U28),2))</f>
        <v>-0.16</v>
      </c>
      <c r="Z28" s="8">
        <v>5039.21</v>
      </c>
      <c r="AA28" s="9">
        <v>5195.0600000000004</v>
      </c>
      <c r="AB28" s="10">
        <f>Z28-AA28</f>
        <v>-155.85000000000036</v>
      </c>
      <c r="AC28" s="11">
        <f>IF(Z28=0,"",ROUND((AB28/Z28),2))</f>
        <v>-0.03</v>
      </c>
      <c r="AE28" s="8">
        <v>4678.43</v>
      </c>
      <c r="AF28" s="9">
        <v>5198.26</v>
      </c>
      <c r="AG28" s="10">
        <f>AE28-AF28</f>
        <v>-519.82999999999993</v>
      </c>
      <c r="AH28" s="11">
        <f>IF(AE28=0,"",ROUND((AG28/AE28),2))</f>
        <v>-0.11</v>
      </c>
      <c r="AJ28" s="8">
        <v>6895.4800000000005</v>
      </c>
      <c r="AK28" s="9">
        <v>6268.62</v>
      </c>
      <c r="AL28" s="10">
        <f t="shared" si="2"/>
        <v>626.86000000000058</v>
      </c>
      <c r="AM28" s="11">
        <f t="shared" si="3"/>
        <v>0.09</v>
      </c>
    </row>
    <row r="29" spans="1:39" x14ac:dyDescent="0.25">
      <c r="A29" s="5" t="s">
        <v>27</v>
      </c>
      <c r="B29" s="5" t="str">
        <f>IF(AND(Heading=FALSE,BlankZero="Yes",MIN(K29:AP29)=0,MAX(K29:AP29)=0),"Hide","Show")</f>
        <v>Show</v>
      </c>
      <c r="D29" s="1" t="str">
        <f>"""NAV Direct"",""CRONUS JetCorp USA"",""15"",""1"",""62700"""</f>
        <v>"NAV Direct","CRONUS JetCorp USA","15","1","62700"</v>
      </c>
      <c r="E29" s="1" t="str">
        <f>"Posting"</f>
        <v>Posting</v>
      </c>
      <c r="F29" s="1" t="b">
        <f>OR(AccountType="Heading",AccountType="Begin-Total")</f>
        <v>0</v>
      </c>
      <c r="G29" s="1">
        <v>3</v>
      </c>
      <c r="H29" s="1" t="str">
        <f>IF(E29="Posting",_xll.NF(D29,"1 No."),IF(OR(E29="Total",E29="End-Total"),_xll.NF(D29,"34 Totaling"),"0"))</f>
        <v>62700</v>
      </c>
      <c r="I29" s="4" t="str">
        <f>"               Group Life Insurance"</f>
        <v xml:space="preserve">               Group Life Insurance</v>
      </c>
      <c r="J29" s="19"/>
      <c r="K29" s="8">
        <v>32.489999999999995</v>
      </c>
      <c r="L29" s="9">
        <v>34.200000000000003</v>
      </c>
      <c r="M29" s="10">
        <f>K29-L29</f>
        <v>-1.710000000000008</v>
      </c>
      <c r="N29" s="11">
        <f>IF(K29=0,"",ROUND((M29/K29),2))</f>
        <v>-0.05</v>
      </c>
      <c r="P29" s="8">
        <v>31.03</v>
      </c>
      <c r="Q29" s="9">
        <v>31.34</v>
      </c>
      <c r="R29" s="10">
        <f>P29-Q29</f>
        <v>-0.30999999999999872</v>
      </c>
      <c r="S29" s="11">
        <f>IF(P29=0,"",ROUND((R29/P29),2))</f>
        <v>-0.01</v>
      </c>
      <c r="U29" s="8">
        <v>27.26</v>
      </c>
      <c r="V29" s="9">
        <v>29.96</v>
      </c>
      <c r="W29" s="10">
        <f>U29-V29</f>
        <v>-2.6999999999999993</v>
      </c>
      <c r="X29" s="11">
        <f>IF(U29=0,"",ROUND((W29/U29),2))</f>
        <v>-0.1</v>
      </c>
      <c r="Z29" s="8">
        <v>33.25</v>
      </c>
      <c r="AA29" s="9">
        <v>34.64</v>
      </c>
      <c r="AB29" s="10">
        <f>Z29-AA29</f>
        <v>-1.3900000000000006</v>
      </c>
      <c r="AC29" s="11">
        <f>IF(Z29=0,"",ROUND((AB29/Z29),2))</f>
        <v>-0.04</v>
      </c>
      <c r="AE29" s="8">
        <v>31.54</v>
      </c>
      <c r="AF29" s="9">
        <v>34.659999999999997</v>
      </c>
      <c r="AG29" s="10">
        <f>AE29-AF29</f>
        <v>-3.1199999999999974</v>
      </c>
      <c r="AH29" s="11">
        <f>IF(AE29=0,"",ROUND((AG29/AE29),2))</f>
        <v>-0.1</v>
      </c>
      <c r="AJ29" s="8">
        <v>43.870000000000005</v>
      </c>
      <c r="AK29" s="9">
        <v>41.78</v>
      </c>
      <c r="AL29" s="10">
        <f t="shared" si="2"/>
        <v>2.0900000000000034</v>
      </c>
      <c r="AM29" s="11">
        <f t="shared" si="3"/>
        <v>0.05</v>
      </c>
    </row>
    <row r="30" spans="1:39" x14ac:dyDescent="0.25">
      <c r="A30" s="5" t="s">
        <v>27</v>
      </c>
      <c r="B30" s="5" t="str">
        <f>IF(AND(Heading=FALSE,BlankZero="Yes",MIN(K30:AP30)=0,MAX(K30:AP30)=0),"Hide","Show")</f>
        <v>Show</v>
      </c>
      <c r="D30" s="1" t="str">
        <f>"""NAV Direct"",""CRONUS JetCorp USA"",""15"",""1"",""62800"""</f>
        <v>"NAV Direct","CRONUS JetCorp USA","15","1","62800"</v>
      </c>
      <c r="E30" s="1" t="str">
        <f>"Posting"</f>
        <v>Posting</v>
      </c>
      <c r="F30" s="1" t="b">
        <f>OR(AccountType="Heading",AccountType="Begin-Total")</f>
        <v>0</v>
      </c>
      <c r="G30" s="1">
        <v>3</v>
      </c>
      <c r="H30" s="1" t="str">
        <f>IF(E30="Posting",_xll.NF(D30,"1 No."),IF(OR(E30="Total",E30="End-Total"),_xll.NF(D30,"34 Totaling"),"0"))</f>
        <v>62800</v>
      </c>
      <c r="I30" s="4" t="str">
        <f>"               Workers Compensation"</f>
        <v xml:space="preserve">               Workers Compensation</v>
      </c>
      <c r="J30" s="19"/>
      <c r="K30" s="8">
        <v>31.46</v>
      </c>
      <c r="L30" s="9">
        <v>34.200000000000003</v>
      </c>
      <c r="M30" s="10">
        <f>K30-L30</f>
        <v>-2.740000000000002</v>
      </c>
      <c r="N30" s="11">
        <f>IF(K30=0,"",ROUND((M30/K30),2))</f>
        <v>-0.09</v>
      </c>
      <c r="P30" s="8">
        <v>31.03</v>
      </c>
      <c r="Q30" s="9">
        <v>31.34</v>
      </c>
      <c r="R30" s="10">
        <f>P30-Q30</f>
        <v>-0.30999999999999872</v>
      </c>
      <c r="S30" s="11">
        <f>IF(P30=0,"",ROUND((R30/P30),2))</f>
        <v>-0.01</v>
      </c>
      <c r="U30" s="8">
        <v>32.06</v>
      </c>
      <c r="V30" s="9">
        <v>29.96</v>
      </c>
      <c r="W30" s="10">
        <f>U30-V30</f>
        <v>2.1000000000000014</v>
      </c>
      <c r="X30" s="11">
        <f>IF(U30=0,"",ROUND((W30/U30),2))</f>
        <v>7.0000000000000007E-2</v>
      </c>
      <c r="Z30" s="8">
        <v>34.99</v>
      </c>
      <c r="AA30" s="9">
        <v>34.64</v>
      </c>
      <c r="AB30" s="10">
        <f>Z30-AA30</f>
        <v>0.35000000000000142</v>
      </c>
      <c r="AC30" s="11">
        <f>IF(Z30=0,"",ROUND((AB30/Z30),2))</f>
        <v>0.01</v>
      </c>
      <c r="AE30" s="8">
        <v>30.849999999999998</v>
      </c>
      <c r="AF30" s="9">
        <v>34.659999999999997</v>
      </c>
      <c r="AG30" s="10">
        <f>AE30-AF30</f>
        <v>-3.8099999999999987</v>
      </c>
      <c r="AH30" s="11">
        <f>IF(AE30=0,"",ROUND((AG30/AE30),2))</f>
        <v>-0.12</v>
      </c>
      <c r="AJ30" s="8">
        <v>43.870000000000005</v>
      </c>
      <c r="AK30" s="9">
        <v>41.78</v>
      </c>
      <c r="AL30" s="10">
        <f t="shared" si="2"/>
        <v>2.0900000000000034</v>
      </c>
      <c r="AM30" s="11">
        <f t="shared" si="3"/>
        <v>0.05</v>
      </c>
    </row>
    <row r="31" spans="1:39" x14ac:dyDescent="0.25">
      <c r="A31" s="5" t="s">
        <v>27</v>
      </c>
      <c r="B31" s="5" t="str">
        <f>IF(AND(Heading=FALSE,BlankZero="Yes",MIN(K31:AP31)=0,MAX(K31:AP31)=0),"Hide","Show")</f>
        <v>Show</v>
      </c>
      <c r="D31" s="1" t="str">
        <f>"""NAV Direct"",""CRONUS JetCorp USA"",""15"",""1"",""62900"""</f>
        <v>"NAV Direct","CRONUS JetCorp USA","15","1","62900"</v>
      </c>
      <c r="E31" s="1" t="str">
        <f>"Posting"</f>
        <v>Posting</v>
      </c>
      <c r="F31" s="1" t="b">
        <f>OR(AccountType="Heading",AccountType="Begin-Total")</f>
        <v>0</v>
      </c>
      <c r="G31" s="1">
        <v>3</v>
      </c>
      <c r="H31" s="1" t="str">
        <f>IF(E31="Posting",_xll.NF(D31,"1 No."),IF(OR(E31="Total",E31="End-Total"),_xll.NF(D31,"34 Totaling"),"0"))</f>
        <v>62900</v>
      </c>
      <c r="I31" s="4" t="str">
        <f>"               401K Contributions"</f>
        <v xml:space="preserve">               401K Contributions</v>
      </c>
      <c r="J31" s="19"/>
      <c r="K31" s="8">
        <v>7180.9699999999993</v>
      </c>
      <c r="L31" s="9">
        <v>6839.02</v>
      </c>
      <c r="M31" s="10">
        <f>K31-L31</f>
        <v>341.94999999999891</v>
      </c>
      <c r="N31" s="11">
        <f>IF(K31=0,"",ROUND((M31/K31),2))</f>
        <v>0.05</v>
      </c>
      <c r="P31" s="8">
        <v>6078.8</v>
      </c>
      <c r="Q31" s="9">
        <v>6266.8</v>
      </c>
      <c r="R31" s="10">
        <f>P31-Q31</f>
        <v>-188</v>
      </c>
      <c r="S31" s="11">
        <f>IF(P31=0,"",ROUND((R31/P31),2))</f>
        <v>-0.03</v>
      </c>
      <c r="U31" s="8">
        <v>5395.48</v>
      </c>
      <c r="V31" s="9">
        <v>5994.98</v>
      </c>
      <c r="W31" s="10">
        <f>U31-V31</f>
        <v>-599.5</v>
      </c>
      <c r="X31" s="11">
        <f>IF(U31=0,"",ROUND((W31/U31),2))</f>
        <v>-0.11</v>
      </c>
      <c r="Z31" s="8">
        <v>6788.22</v>
      </c>
      <c r="AA31" s="9">
        <v>6926.76</v>
      </c>
      <c r="AB31" s="10">
        <f>Z31-AA31</f>
        <v>-138.53999999999996</v>
      </c>
      <c r="AC31" s="11">
        <f>IF(Z31=0,"",ROUND((AB31/Z31),2))</f>
        <v>-0.02</v>
      </c>
      <c r="AE31" s="8">
        <v>7554.79</v>
      </c>
      <c r="AF31" s="9">
        <v>6931</v>
      </c>
      <c r="AG31" s="10">
        <f>AE31-AF31</f>
        <v>623.79</v>
      </c>
      <c r="AH31" s="11">
        <f>IF(AE31=0,"",ROUND((AG31/AE31),2))</f>
        <v>0.08</v>
      </c>
      <c r="AJ31" s="8">
        <v>9193.98</v>
      </c>
      <c r="AK31" s="9">
        <v>8358.16</v>
      </c>
      <c r="AL31" s="10">
        <f t="shared" si="2"/>
        <v>835.81999999999971</v>
      </c>
      <c r="AM31" s="11">
        <f t="shared" si="3"/>
        <v>0.09</v>
      </c>
    </row>
    <row r="32" spans="1:39" x14ac:dyDescent="0.25">
      <c r="A32" s="5" t="s">
        <v>27</v>
      </c>
      <c r="B32" s="5" t="str">
        <f>IF(AND(Heading=FALSE,BlankZero="Yes",MIN(K32:AP32)=0,MAX(K32:AP32)=0),"Hide","Show")</f>
        <v>Show</v>
      </c>
      <c r="D32" s="1" t="str">
        <f>"""NAV Direct"",""CRONUS JetCorp USA"",""15"",""1"",""62950"""</f>
        <v>"NAV Direct","CRONUS JetCorp USA","15","1","62950"</v>
      </c>
      <c r="E32" s="1" t="str">
        <f>"End-Total"</f>
        <v>End-Total</v>
      </c>
      <c r="F32" s="1" t="b">
        <f>OR(AccountType="Heading",AccountType="Begin-Total")</f>
        <v>0</v>
      </c>
      <c r="G32" s="1">
        <v>2</v>
      </c>
      <c r="H32" s="1" t="str">
        <f>IF(E32="Posting",_xll.NF(D32,"1 No."),IF(OR(E32="Total",E32="End-Total"),_xll.NF(D32,"34 Totaling"),"0"))</f>
        <v>62000..62950</v>
      </c>
      <c r="I32" s="4" t="str">
        <f>"          Total Personnel Expenses"</f>
        <v xml:space="preserve">          Total Personnel Expenses</v>
      </c>
      <c r="J32" s="19"/>
      <c r="K32" s="8">
        <v>431212.35</v>
      </c>
      <c r="L32" s="9">
        <v>480508.96</v>
      </c>
      <c r="M32" s="10">
        <f>K32-L32</f>
        <v>-49296.610000000044</v>
      </c>
      <c r="N32" s="11">
        <f>IF(K32=0,"",ROUND((M32/K32),2))</f>
        <v>-0.11</v>
      </c>
      <c r="P32" s="8">
        <v>416834.82999999996</v>
      </c>
      <c r="Q32" s="9">
        <v>440304.57</v>
      </c>
      <c r="R32" s="10">
        <f>P32-Q32</f>
        <v>-23469.740000000049</v>
      </c>
      <c r="S32" s="11">
        <f>IF(P32=0,"",ROUND((R32/P32),2))</f>
        <v>-0.06</v>
      </c>
      <c r="U32" s="8">
        <v>441889.07</v>
      </c>
      <c r="V32" s="9">
        <v>421207</v>
      </c>
      <c r="W32" s="10">
        <f>U32-V32</f>
        <v>20682.070000000007</v>
      </c>
      <c r="X32" s="11">
        <f>IF(U32=0,"",ROUND((W32/U32),2))</f>
        <v>0.05</v>
      </c>
      <c r="Z32" s="8">
        <v>495313.86</v>
      </c>
      <c r="AA32" s="9">
        <v>486673.77999999997</v>
      </c>
      <c r="AB32" s="10">
        <f>Z32-AA32</f>
        <v>8640.0800000000163</v>
      </c>
      <c r="AC32" s="11">
        <f>IF(Z32=0,"",ROUND((AB32/Z32),2))</f>
        <v>0.02</v>
      </c>
      <c r="AE32" s="8">
        <v>482737.47</v>
      </c>
      <c r="AF32" s="9">
        <v>486972.32000000007</v>
      </c>
      <c r="AG32" s="10">
        <f>AE32-AF32</f>
        <v>-4234.8500000000931</v>
      </c>
      <c r="AH32" s="11">
        <f>IF(AE32=0,"",ROUND((AG32/AE32),2))</f>
        <v>-0.01</v>
      </c>
      <c r="AJ32" s="8">
        <v>546836.25</v>
      </c>
      <c r="AK32" s="9">
        <v>587243.73</v>
      </c>
      <c r="AL32" s="10">
        <f t="shared" si="2"/>
        <v>-40407.479999999981</v>
      </c>
      <c r="AM32" s="11">
        <f t="shared" si="3"/>
        <v>-7.0000000000000007E-2</v>
      </c>
    </row>
    <row r="33" spans="1:39" x14ac:dyDescent="0.25">
      <c r="A33" s="5" t="s">
        <v>27</v>
      </c>
      <c r="B33" s="5" t="str">
        <f>IF(AND(Heading=FALSE,BlankZero="Yes",MIN(K33:AP33)=0,MAX(K33:AP33)=0),"Hide","Show")</f>
        <v>Show</v>
      </c>
      <c r="D33" s="1" t="str">
        <f>"""NAV Direct"",""CRONUS JetCorp USA"",""15"",""1"",""64000"""</f>
        <v>"NAV Direct","CRONUS JetCorp USA","15","1","64000"</v>
      </c>
      <c r="E33" s="1" t="str">
        <f>"Begin-Total"</f>
        <v>Begin-Total</v>
      </c>
      <c r="F33" s="1" t="b">
        <f>OR(AccountType="Heading",AccountType="Begin-Total")</f>
        <v>1</v>
      </c>
      <c r="G33" s="1">
        <v>2</v>
      </c>
      <c r="H33" s="1" t="str">
        <f>IF(E33="Posting",_xll.NF(D33,"1 No."),IF(OR(E33="Total",E33="End-Total"),_xll.NF(D33,"34 Totaling"),"0"))</f>
        <v>0</v>
      </c>
      <c r="I33" s="4" t="str">
        <f>"          Computer Expenses"</f>
        <v xml:space="preserve">          Computer Expenses</v>
      </c>
      <c r="J33" s="19"/>
      <c r="K33" s="8">
        <v>0</v>
      </c>
      <c r="L33" s="9">
        <v>0</v>
      </c>
      <c r="M33" s="10">
        <f>K33-L33</f>
        <v>0</v>
      </c>
      <c r="N33" s="11" t="str">
        <f>IF(K33=0,"",ROUND((M33/K33),2))</f>
        <v/>
      </c>
      <c r="P33" s="8">
        <v>0</v>
      </c>
      <c r="Q33" s="9">
        <v>0</v>
      </c>
      <c r="R33" s="10">
        <f>P33-Q33</f>
        <v>0</v>
      </c>
      <c r="S33" s="11" t="str">
        <f>IF(P33=0,"",ROUND((R33/P33),2))</f>
        <v/>
      </c>
      <c r="U33" s="8">
        <v>0</v>
      </c>
      <c r="V33" s="9">
        <v>0</v>
      </c>
      <c r="W33" s="10">
        <f>U33-V33</f>
        <v>0</v>
      </c>
      <c r="X33" s="11" t="str">
        <f>IF(U33=0,"",ROUND((W33/U33),2))</f>
        <v/>
      </c>
      <c r="Z33" s="8">
        <v>0</v>
      </c>
      <c r="AA33" s="9">
        <v>0</v>
      </c>
      <c r="AB33" s="10">
        <f>Z33-AA33</f>
        <v>0</v>
      </c>
      <c r="AC33" s="11" t="str">
        <f>IF(Z33=0,"",ROUND((AB33/Z33),2))</f>
        <v/>
      </c>
      <c r="AE33" s="8">
        <v>0</v>
      </c>
      <c r="AF33" s="9">
        <v>0</v>
      </c>
      <c r="AG33" s="10">
        <f>AE33-AF33</f>
        <v>0</v>
      </c>
      <c r="AH33" s="11" t="str">
        <f>IF(AE33=0,"",ROUND((AG33/AE33),2))</f>
        <v/>
      </c>
      <c r="AJ33" s="8">
        <v>0</v>
      </c>
      <c r="AK33" s="9">
        <v>0</v>
      </c>
      <c r="AL33" s="10">
        <f t="shared" si="2"/>
        <v>0</v>
      </c>
      <c r="AM33" s="11" t="str">
        <f t="shared" si="3"/>
        <v/>
      </c>
    </row>
    <row r="34" spans="1:39" x14ac:dyDescent="0.25">
      <c r="A34" s="5" t="s">
        <v>27</v>
      </c>
      <c r="B34" s="5" t="str">
        <f>IF(AND(Heading=FALSE,BlankZero="Yes",MIN(K34:AP34)=0,MAX(K34:AP34)=0),"Hide","Show")</f>
        <v>Show</v>
      </c>
      <c r="D34" s="1" t="str">
        <f>"""NAV Direct"",""CRONUS JetCorp USA"",""15"",""1"",""64100"""</f>
        <v>"NAV Direct","CRONUS JetCorp USA","15","1","64100"</v>
      </c>
      <c r="E34" s="1" t="str">
        <f>"Posting"</f>
        <v>Posting</v>
      </c>
      <c r="F34" s="1" t="b">
        <f>OR(AccountType="Heading",AccountType="Begin-Total")</f>
        <v>0</v>
      </c>
      <c r="G34" s="1">
        <v>3</v>
      </c>
      <c r="H34" s="1" t="str">
        <f>IF(E34="Posting",_xll.NF(D34,"1 No."),IF(OR(E34="Total",E34="End-Total"),_xll.NF(D34,"34 Totaling"),"0"))</f>
        <v>64100</v>
      </c>
      <c r="I34" s="4" t="str">
        <f>"               Software"</f>
        <v xml:space="preserve">               Software</v>
      </c>
      <c r="J34" s="19"/>
      <c r="K34" s="8">
        <v>2163.38</v>
      </c>
      <c r="L34" s="9">
        <v>2207.5299999999997</v>
      </c>
      <c r="M34" s="10">
        <f>K34-L34</f>
        <v>-44.149999999999636</v>
      </c>
      <c r="N34" s="11">
        <f>IF(K34=0,"",ROUND((M34/K34),2))</f>
        <v>-0.02</v>
      </c>
      <c r="P34" s="8">
        <v>2148.69</v>
      </c>
      <c r="Q34" s="9">
        <v>1989.5300000000002</v>
      </c>
      <c r="R34" s="10">
        <f>P34-Q34</f>
        <v>159.15999999999985</v>
      </c>
      <c r="S34" s="11">
        <f>IF(P34=0,"",ROUND((R34/P34),2))</f>
        <v>7.0000000000000007E-2</v>
      </c>
      <c r="U34" s="8">
        <v>1768.3899999999999</v>
      </c>
      <c r="V34" s="9">
        <v>2009.53</v>
      </c>
      <c r="W34" s="10">
        <f>U34-V34</f>
        <v>-241.1400000000001</v>
      </c>
      <c r="X34" s="11">
        <f>IF(U34=0,"",ROUND((W34/U34),2))</f>
        <v>-0.14000000000000001</v>
      </c>
      <c r="Z34" s="8">
        <v>2106.94</v>
      </c>
      <c r="AA34" s="9">
        <v>2265.5299999999997</v>
      </c>
      <c r="AB34" s="10">
        <f>Z34-AA34</f>
        <v>-158.58999999999969</v>
      </c>
      <c r="AC34" s="11">
        <f>IF(Z34=0,"",ROUND((AB34/Z34),2))</f>
        <v>-0.08</v>
      </c>
      <c r="AE34" s="8">
        <v>2171.1</v>
      </c>
      <c r="AF34" s="9">
        <v>2128.5299999999997</v>
      </c>
      <c r="AG34" s="10">
        <f>AE34-AF34</f>
        <v>42.570000000000164</v>
      </c>
      <c r="AH34" s="11">
        <f>IF(AE34=0,"",ROUND((AG34/AE34),2))</f>
        <v>0.02</v>
      </c>
      <c r="AJ34" s="8">
        <v>1811.38</v>
      </c>
      <c r="AK34" s="9">
        <v>1990.53</v>
      </c>
      <c r="AL34" s="10">
        <f t="shared" si="2"/>
        <v>-179.14999999999986</v>
      </c>
      <c r="AM34" s="11">
        <f t="shared" si="3"/>
        <v>-0.1</v>
      </c>
    </row>
    <row r="35" spans="1:39" x14ac:dyDescent="0.25">
      <c r="A35" s="5" t="s">
        <v>27</v>
      </c>
      <c r="B35" s="5" t="str">
        <f>IF(AND(Heading=FALSE,BlankZero="Yes",MIN(K35:AP35)=0,MAX(K35:AP35)=0),"Hide","Show")</f>
        <v>Show</v>
      </c>
      <c r="D35" s="1" t="str">
        <f>"""NAV Direct"",""CRONUS JetCorp USA"",""15"",""1"",""64200"""</f>
        <v>"NAV Direct","CRONUS JetCorp USA","15","1","64200"</v>
      </c>
      <c r="E35" s="1" t="str">
        <f>"Posting"</f>
        <v>Posting</v>
      </c>
      <c r="F35" s="1" t="b">
        <f>OR(AccountType="Heading",AccountType="Begin-Total")</f>
        <v>0</v>
      </c>
      <c r="G35" s="1">
        <v>3</v>
      </c>
      <c r="H35" s="1" t="str">
        <f>IF(E35="Posting",_xll.NF(D35,"1 No."),IF(OR(E35="Total",E35="End-Total"),_xll.NF(D35,"34 Totaling"),"0"))</f>
        <v>64200</v>
      </c>
      <c r="I35" s="4" t="str">
        <f>"               Consultant Services"</f>
        <v xml:space="preserve">               Consultant Services</v>
      </c>
      <c r="J35" s="19"/>
      <c r="K35" s="8">
        <v>2383.3199999999997</v>
      </c>
      <c r="L35" s="9">
        <v>2186.5299999999997</v>
      </c>
      <c r="M35" s="10">
        <f>K35-L35</f>
        <v>196.78999999999996</v>
      </c>
      <c r="N35" s="11">
        <f>IF(K35=0,"",ROUND((M35/K35),2))</f>
        <v>0.08</v>
      </c>
      <c r="P35" s="8">
        <v>2001.3100000000002</v>
      </c>
      <c r="Q35" s="9">
        <v>2021.5300000000002</v>
      </c>
      <c r="R35" s="10">
        <f>P35-Q35</f>
        <v>-20.220000000000027</v>
      </c>
      <c r="S35" s="11">
        <f>IF(P35=0,"",ROUND((R35/P35),2))</f>
        <v>-0.01</v>
      </c>
      <c r="U35" s="8">
        <v>1896.3700000000001</v>
      </c>
      <c r="V35" s="9">
        <v>1915.53</v>
      </c>
      <c r="W35" s="10">
        <f>U35-V35</f>
        <v>-19.159999999999854</v>
      </c>
      <c r="X35" s="11">
        <f>IF(U35=0,"",ROUND((W35/U35),2))</f>
        <v>-0.01</v>
      </c>
      <c r="Z35" s="8">
        <v>2081.83</v>
      </c>
      <c r="AA35" s="9">
        <v>2238.5300000000002</v>
      </c>
      <c r="AB35" s="10">
        <f>Z35-AA35</f>
        <v>-156.70000000000027</v>
      </c>
      <c r="AC35" s="11">
        <f>IF(Z35=0,"",ROUND((AB35/Z35),2))</f>
        <v>-0.08</v>
      </c>
      <c r="AE35" s="8">
        <v>1947.0299999999997</v>
      </c>
      <c r="AF35" s="9">
        <v>2212.5300000000002</v>
      </c>
      <c r="AG35" s="10">
        <f>AE35-AF35</f>
        <v>-265.50000000000045</v>
      </c>
      <c r="AH35" s="11">
        <f>IF(AE35=0,"",ROUND((AG35/AE35),2))</f>
        <v>-0.14000000000000001</v>
      </c>
      <c r="AJ35" s="8">
        <v>2158.5899999999997</v>
      </c>
      <c r="AK35" s="9">
        <v>2248.5299999999997</v>
      </c>
      <c r="AL35" s="10">
        <f t="shared" si="2"/>
        <v>-89.940000000000055</v>
      </c>
      <c r="AM35" s="11">
        <f t="shared" si="3"/>
        <v>-0.04</v>
      </c>
    </row>
    <row r="36" spans="1:39" hidden="1" x14ac:dyDescent="0.25">
      <c r="A36" s="5" t="s">
        <v>27</v>
      </c>
      <c r="B36" s="5" t="str">
        <f>IF(AND(Heading=FALSE,BlankZero="Yes",MIN(K36:AP36)=0,MAX(K36:AP36)=0),"Hide","Show")</f>
        <v>Hide</v>
      </c>
      <c r="D36" s="1" t="str">
        <f>"""NAV Direct"",""CRONUS JetCorp USA"",""15"",""1"",""64300"""</f>
        <v>"NAV Direct","CRONUS JetCorp USA","15","1","64300"</v>
      </c>
      <c r="E36" s="1" t="str">
        <f>"Posting"</f>
        <v>Posting</v>
      </c>
      <c r="F36" s="1" t="b">
        <f>OR(AccountType="Heading",AccountType="Begin-Total")</f>
        <v>0</v>
      </c>
      <c r="G36" s="1">
        <v>3</v>
      </c>
      <c r="H36" s="1" t="str">
        <f>IF(E36="Posting",_xll.NF(D36,"1 No."),IF(OR(E36="Total",E36="End-Total"),_xll.NF(D36,"34 Totaling"),"0"))</f>
        <v>64300</v>
      </c>
      <c r="I36" s="4" t="str">
        <f>"               Other Computer Expenses"</f>
        <v xml:space="preserve">               Other Computer Expenses</v>
      </c>
      <c r="J36" s="19"/>
      <c r="K36" s="8">
        <v>0</v>
      </c>
      <c r="L36" s="9">
        <v>0</v>
      </c>
      <c r="M36" s="10">
        <f>K36-L36</f>
        <v>0</v>
      </c>
      <c r="N36" s="11" t="str">
        <f>IF(K36=0,"",ROUND((M36/K36),2))</f>
        <v/>
      </c>
      <c r="P36" s="8">
        <v>0</v>
      </c>
      <c r="Q36" s="9">
        <v>0</v>
      </c>
      <c r="R36" s="10">
        <f>P36-Q36</f>
        <v>0</v>
      </c>
      <c r="S36" s="11" t="str">
        <f>IF(P36=0,"",ROUND((R36/P36),2))</f>
        <v/>
      </c>
      <c r="U36" s="8">
        <v>0</v>
      </c>
      <c r="V36" s="9">
        <v>0</v>
      </c>
      <c r="W36" s="10">
        <f>U36-V36</f>
        <v>0</v>
      </c>
      <c r="X36" s="11" t="str">
        <f>IF(U36=0,"",ROUND((W36/U36),2))</f>
        <v/>
      </c>
      <c r="Z36" s="8">
        <v>0</v>
      </c>
      <c r="AA36" s="9">
        <v>0</v>
      </c>
      <c r="AB36" s="10">
        <f>Z36-AA36</f>
        <v>0</v>
      </c>
      <c r="AC36" s="11" t="str">
        <f>IF(Z36=0,"",ROUND((AB36/Z36),2))</f>
        <v/>
      </c>
      <c r="AE36" s="8">
        <v>0</v>
      </c>
      <c r="AF36" s="9">
        <v>0</v>
      </c>
      <c r="AG36" s="10">
        <f>AE36-AF36</f>
        <v>0</v>
      </c>
      <c r="AH36" s="11" t="str">
        <f>IF(AE36=0,"",ROUND((AG36/AE36),2))</f>
        <v/>
      </c>
      <c r="AJ36" s="8">
        <v>0</v>
      </c>
      <c r="AK36" s="9">
        <v>0</v>
      </c>
      <c r="AL36" s="10">
        <f t="shared" si="2"/>
        <v>0</v>
      </c>
      <c r="AM36" s="11" t="str">
        <f t="shared" si="3"/>
        <v/>
      </c>
    </row>
    <row r="37" spans="1:39" x14ac:dyDescent="0.25">
      <c r="A37" s="5" t="s">
        <v>27</v>
      </c>
      <c r="B37" s="5" t="str">
        <f>IF(AND(Heading=FALSE,BlankZero="Yes",MIN(K37:AP37)=0,MAX(K37:AP37)=0),"Hide","Show")</f>
        <v>Show</v>
      </c>
      <c r="D37" s="1" t="str">
        <f>"""NAV Direct"",""CRONUS JetCorp USA"",""15"",""1"",""64400"""</f>
        <v>"NAV Direct","CRONUS JetCorp USA","15","1","64400"</v>
      </c>
      <c r="E37" s="1" t="str">
        <f>"End-Total"</f>
        <v>End-Total</v>
      </c>
      <c r="F37" s="1" t="b">
        <f>OR(AccountType="Heading",AccountType="Begin-Total")</f>
        <v>0</v>
      </c>
      <c r="G37" s="1">
        <v>2</v>
      </c>
      <c r="H37" s="1" t="str">
        <f>IF(E37="Posting",_xll.NF(D37,"1 No."),IF(OR(E37="Total",E37="End-Total"),_xll.NF(D37,"34 Totaling"),"0"))</f>
        <v>64000..64400</v>
      </c>
      <c r="I37" s="4" t="str">
        <f>"          Total Computer Expenses"</f>
        <v xml:space="preserve">          Total Computer Expenses</v>
      </c>
      <c r="J37" s="19"/>
      <c r="K37" s="8">
        <v>4546.7</v>
      </c>
      <c r="L37" s="9">
        <v>4394.0599999999995</v>
      </c>
      <c r="M37" s="10">
        <f>K37-L37</f>
        <v>152.64000000000033</v>
      </c>
      <c r="N37" s="11">
        <f>IF(K37=0,"",ROUND((M37/K37),2))</f>
        <v>0.03</v>
      </c>
      <c r="P37" s="8">
        <v>4150</v>
      </c>
      <c r="Q37" s="9">
        <v>4011.06</v>
      </c>
      <c r="R37" s="10">
        <f>P37-Q37</f>
        <v>138.94000000000005</v>
      </c>
      <c r="S37" s="11">
        <f>IF(P37=0,"",ROUND((R37/P37),2))</f>
        <v>0.03</v>
      </c>
      <c r="U37" s="8">
        <v>3664.76</v>
      </c>
      <c r="V37" s="9">
        <v>3925.06</v>
      </c>
      <c r="W37" s="10">
        <f>U37-V37</f>
        <v>-260.29999999999973</v>
      </c>
      <c r="X37" s="11">
        <f>IF(U37=0,"",ROUND((W37/U37),2))</f>
        <v>-7.0000000000000007E-2</v>
      </c>
      <c r="Z37" s="8">
        <v>4188.7700000000004</v>
      </c>
      <c r="AA37" s="9">
        <v>4504.0599999999995</v>
      </c>
      <c r="AB37" s="10">
        <f>Z37-AA37</f>
        <v>-315.28999999999905</v>
      </c>
      <c r="AC37" s="11">
        <f>IF(Z37=0,"",ROUND((AB37/Z37),2))</f>
        <v>-0.08</v>
      </c>
      <c r="AE37" s="8">
        <v>4118.13</v>
      </c>
      <c r="AF37" s="9">
        <v>4341.0600000000004</v>
      </c>
      <c r="AG37" s="10">
        <f>AE37-AF37</f>
        <v>-222.93000000000029</v>
      </c>
      <c r="AH37" s="11">
        <f>IF(AE37=0,"",ROUND((AG37/AE37),2))</f>
        <v>-0.05</v>
      </c>
      <c r="AJ37" s="8">
        <v>3969.97</v>
      </c>
      <c r="AK37" s="9">
        <v>4239.0600000000004</v>
      </c>
      <c r="AL37" s="10">
        <f t="shared" si="2"/>
        <v>-269.0900000000006</v>
      </c>
      <c r="AM37" s="11">
        <f t="shared" si="3"/>
        <v>-7.0000000000000007E-2</v>
      </c>
    </row>
    <row r="38" spans="1:39" x14ac:dyDescent="0.25">
      <c r="A38" s="5" t="s">
        <v>27</v>
      </c>
      <c r="B38" s="5" t="str">
        <f>IF(AND(Heading=FALSE,BlankZero="Yes",MIN(K38:AP38)=0,MAX(K38:AP38)=0),"Hide","Show")</f>
        <v>Show</v>
      </c>
      <c r="D38" s="1" t="str">
        <f>"""NAV Direct"",""CRONUS JetCorp USA"",""15"",""1"",""65000"""</f>
        <v>"NAV Direct","CRONUS JetCorp USA","15","1","65000"</v>
      </c>
      <c r="E38" s="1" t="str">
        <f>"Begin-Total"</f>
        <v>Begin-Total</v>
      </c>
      <c r="F38" s="1" t="b">
        <f>OR(AccountType="Heading",AccountType="Begin-Total")</f>
        <v>1</v>
      </c>
      <c r="G38" s="1">
        <v>2</v>
      </c>
      <c r="H38" s="1" t="str">
        <f>IF(E38="Posting",_xll.NF(D38,"1 No."),IF(OR(E38="Total",E38="End-Total"),_xll.NF(D38,"34 Totaling"),"0"))</f>
        <v>0</v>
      </c>
      <c r="I38" s="4" t="str">
        <f>"          Building Maintenance Expenses"</f>
        <v xml:space="preserve">          Building Maintenance Expenses</v>
      </c>
      <c r="J38" s="19"/>
      <c r="K38" s="8">
        <v>0</v>
      </c>
      <c r="L38" s="9">
        <v>0</v>
      </c>
      <c r="M38" s="10">
        <f>K38-L38</f>
        <v>0</v>
      </c>
      <c r="N38" s="11" t="str">
        <f>IF(K38=0,"",ROUND((M38/K38),2))</f>
        <v/>
      </c>
      <c r="P38" s="8">
        <v>0</v>
      </c>
      <c r="Q38" s="9">
        <v>0</v>
      </c>
      <c r="R38" s="10">
        <f>P38-Q38</f>
        <v>0</v>
      </c>
      <c r="S38" s="11" t="str">
        <f>IF(P38=0,"",ROUND((R38/P38),2))</f>
        <v/>
      </c>
      <c r="U38" s="8">
        <v>0</v>
      </c>
      <c r="V38" s="9">
        <v>0</v>
      </c>
      <c r="W38" s="10">
        <f>U38-V38</f>
        <v>0</v>
      </c>
      <c r="X38" s="11" t="str">
        <f>IF(U38=0,"",ROUND((W38/U38),2))</f>
        <v/>
      </c>
      <c r="Z38" s="8">
        <v>0</v>
      </c>
      <c r="AA38" s="9">
        <v>0</v>
      </c>
      <c r="AB38" s="10">
        <f>Z38-AA38</f>
        <v>0</v>
      </c>
      <c r="AC38" s="11" t="str">
        <f>IF(Z38=0,"",ROUND((AB38/Z38),2))</f>
        <v/>
      </c>
      <c r="AE38" s="8">
        <v>0</v>
      </c>
      <c r="AF38" s="9">
        <v>0</v>
      </c>
      <c r="AG38" s="10">
        <f>AE38-AF38</f>
        <v>0</v>
      </c>
      <c r="AH38" s="11" t="str">
        <f>IF(AE38=0,"",ROUND((AG38/AE38),2))</f>
        <v/>
      </c>
      <c r="AJ38" s="8">
        <v>0</v>
      </c>
      <c r="AK38" s="9">
        <v>0</v>
      </c>
      <c r="AL38" s="10">
        <f t="shared" si="2"/>
        <v>0</v>
      </c>
      <c r="AM38" s="11" t="str">
        <f t="shared" si="3"/>
        <v/>
      </c>
    </row>
    <row r="39" spans="1:39" x14ac:dyDescent="0.25">
      <c r="A39" s="5" t="s">
        <v>27</v>
      </c>
      <c r="B39" s="5" t="str">
        <f>IF(AND(Heading=FALSE,BlankZero="Yes",MIN(K39:AP39)=0,MAX(K39:AP39)=0),"Hide","Show")</f>
        <v>Show</v>
      </c>
      <c r="D39" s="1" t="str">
        <f>"""NAV Direct"",""CRONUS JetCorp USA"",""15"",""1"",""65100"""</f>
        <v>"NAV Direct","CRONUS JetCorp USA","15","1","65100"</v>
      </c>
      <c r="E39" s="1" t="str">
        <f>"Posting"</f>
        <v>Posting</v>
      </c>
      <c r="F39" s="1" t="b">
        <f>OR(AccountType="Heading",AccountType="Begin-Total")</f>
        <v>0</v>
      </c>
      <c r="G39" s="1">
        <v>3</v>
      </c>
      <c r="H39" s="1" t="str">
        <f>IF(E39="Posting",_xll.NF(D39,"1 No."),IF(OR(E39="Total",E39="End-Total"),_xll.NF(D39,"34 Totaling"),"0"))</f>
        <v>65100</v>
      </c>
      <c r="I39" s="4" t="str">
        <f>"               Cleaning"</f>
        <v xml:space="preserve">               Cleaning</v>
      </c>
      <c r="J39" s="19"/>
      <c r="K39" s="8">
        <v>741.42</v>
      </c>
      <c r="L39" s="9">
        <v>852.20999999999992</v>
      </c>
      <c r="M39" s="10">
        <f>K39-L39</f>
        <v>-110.78999999999996</v>
      </c>
      <c r="N39" s="11">
        <f>IF(K39=0,"",ROUND((M39/K39),2))</f>
        <v>-0.15</v>
      </c>
      <c r="P39" s="8">
        <v>831.26</v>
      </c>
      <c r="Q39" s="9">
        <v>784.20999999999992</v>
      </c>
      <c r="R39" s="10">
        <f>P39-Q39</f>
        <v>47.050000000000068</v>
      </c>
      <c r="S39" s="11">
        <f>IF(P39=0,"",ROUND((R39/P39),2))</f>
        <v>0.06</v>
      </c>
      <c r="U39" s="8">
        <v>833.46</v>
      </c>
      <c r="V39" s="9">
        <v>825.21</v>
      </c>
      <c r="W39" s="10">
        <f>U39-V39</f>
        <v>8.25</v>
      </c>
      <c r="X39" s="11">
        <f>IF(U39=0,"",ROUND((W39/U39),2))</f>
        <v>0.01</v>
      </c>
      <c r="Z39" s="8">
        <v>771.20999999999992</v>
      </c>
      <c r="AA39" s="9">
        <v>771.20999999999992</v>
      </c>
      <c r="AB39" s="10">
        <f>Z39-AA39</f>
        <v>0</v>
      </c>
      <c r="AC39" s="11">
        <f>IF(Z39=0,"",ROUND((AB39/Z39),2))</f>
        <v>0</v>
      </c>
      <c r="AE39" s="8">
        <v>799.67</v>
      </c>
      <c r="AF39" s="9">
        <v>869.21</v>
      </c>
      <c r="AG39" s="10">
        <f>AE39-AF39</f>
        <v>-69.540000000000077</v>
      </c>
      <c r="AH39" s="11">
        <f>IF(AE39=0,"",ROUND((AG39/AE39),2))</f>
        <v>-0.09</v>
      </c>
      <c r="AJ39" s="8">
        <v>871.21</v>
      </c>
      <c r="AK39" s="9">
        <v>871.21</v>
      </c>
      <c r="AL39" s="10">
        <f t="shared" si="2"/>
        <v>0</v>
      </c>
      <c r="AM39" s="11">
        <f t="shared" si="3"/>
        <v>0</v>
      </c>
    </row>
    <row r="40" spans="1:39" x14ac:dyDescent="0.25">
      <c r="A40" s="5" t="s">
        <v>27</v>
      </c>
      <c r="B40" s="5" t="str">
        <f>IF(AND(Heading=FALSE,BlankZero="Yes",MIN(K40:AP40)=0,MAX(K40:AP40)=0),"Hide","Show")</f>
        <v>Show</v>
      </c>
      <c r="D40" s="1" t="str">
        <f>"""NAV Direct"",""CRONUS JetCorp USA"",""15"",""1"",""65200"""</f>
        <v>"NAV Direct","CRONUS JetCorp USA","15","1","65200"</v>
      </c>
      <c r="E40" s="1" t="str">
        <f>"Posting"</f>
        <v>Posting</v>
      </c>
      <c r="F40" s="1" t="b">
        <f>OR(AccountType="Heading",AccountType="Begin-Total")</f>
        <v>0</v>
      </c>
      <c r="G40" s="1">
        <v>3</v>
      </c>
      <c r="H40" s="1" t="str">
        <f>IF(E40="Posting",_xll.NF(D40,"1 No."),IF(OR(E40="Total",E40="End-Total"),_xll.NF(D40,"34 Totaling"),"0"))</f>
        <v>65200</v>
      </c>
      <c r="I40" s="4" t="str">
        <f>"               Electricity and Heating"</f>
        <v xml:space="preserve">               Electricity and Heating</v>
      </c>
      <c r="J40" s="19"/>
      <c r="K40" s="8">
        <v>2003.64</v>
      </c>
      <c r="L40" s="9">
        <v>2044.5300000000002</v>
      </c>
      <c r="M40" s="10">
        <f>K40-L40</f>
        <v>-40.8900000000001</v>
      </c>
      <c r="N40" s="11">
        <f>IF(K40=0,"",ROUND((M40/K40),2))</f>
        <v>-0.02</v>
      </c>
      <c r="P40" s="8">
        <v>1856.1899999999998</v>
      </c>
      <c r="Q40" s="9">
        <v>1933.53</v>
      </c>
      <c r="R40" s="10">
        <f>P40-Q40</f>
        <v>-77.340000000000146</v>
      </c>
      <c r="S40" s="11">
        <f>IF(P40=0,"",ROUND((R40/P40),2))</f>
        <v>-0.04</v>
      </c>
      <c r="U40" s="8">
        <v>2159.5300000000002</v>
      </c>
      <c r="V40" s="9">
        <v>2159.5300000000002</v>
      </c>
      <c r="W40" s="10">
        <f>U40-V40</f>
        <v>0</v>
      </c>
      <c r="X40" s="11">
        <f>IF(U40=0,"",ROUND((W40/U40),2))</f>
        <v>0</v>
      </c>
      <c r="Z40" s="8">
        <v>2169.15</v>
      </c>
      <c r="AA40" s="9">
        <v>2259.5300000000002</v>
      </c>
      <c r="AB40" s="10">
        <f>Z40-AA40</f>
        <v>-90.380000000000109</v>
      </c>
      <c r="AC40" s="11">
        <f>IF(Z40=0,"",ROUND((AB40/Z40),2))</f>
        <v>-0.04</v>
      </c>
      <c r="AE40" s="8">
        <v>2201.6800000000003</v>
      </c>
      <c r="AF40" s="9">
        <v>2001.53</v>
      </c>
      <c r="AG40" s="10">
        <f>AE40-AF40</f>
        <v>200.15000000000032</v>
      </c>
      <c r="AH40" s="11">
        <f>IF(AE40=0,"",ROUND((AG40/AE40),2))</f>
        <v>0.09</v>
      </c>
      <c r="AJ40" s="8">
        <v>2093.8000000000002</v>
      </c>
      <c r="AK40" s="9">
        <v>2136.5300000000002</v>
      </c>
      <c r="AL40" s="10">
        <f t="shared" si="2"/>
        <v>-42.730000000000018</v>
      </c>
      <c r="AM40" s="11">
        <f t="shared" si="3"/>
        <v>-0.02</v>
      </c>
    </row>
    <row r="41" spans="1:39" x14ac:dyDescent="0.25">
      <c r="A41" s="5" t="s">
        <v>27</v>
      </c>
      <c r="B41" s="5" t="str">
        <f>IF(AND(Heading=FALSE,BlankZero="Yes",MIN(K41:AP41)=0,MAX(K41:AP41)=0),"Hide","Show")</f>
        <v>Show</v>
      </c>
      <c r="D41" s="1" t="str">
        <f>"""NAV Direct"",""CRONUS JetCorp USA"",""15"",""1"",""65300"""</f>
        <v>"NAV Direct","CRONUS JetCorp USA","15","1","65300"</v>
      </c>
      <c r="E41" s="1" t="str">
        <f>"Posting"</f>
        <v>Posting</v>
      </c>
      <c r="F41" s="1" t="b">
        <f>OR(AccountType="Heading",AccountType="Begin-Total")</f>
        <v>0</v>
      </c>
      <c r="G41" s="1">
        <v>3</v>
      </c>
      <c r="H41" s="1" t="str">
        <f>IF(E41="Posting",_xll.NF(D41,"1 No."),IF(OR(E41="Total",E41="End-Total"),_xll.NF(D41,"34 Totaling"),"0"))</f>
        <v>65300</v>
      </c>
      <c r="I41" s="4" t="str">
        <f>"               Repairs and Maintenance"</f>
        <v xml:space="preserve">               Repairs and Maintenance</v>
      </c>
      <c r="J41" s="19"/>
      <c r="K41" s="8">
        <v>2208.92</v>
      </c>
      <c r="L41" s="9">
        <v>2026.53</v>
      </c>
      <c r="M41" s="10">
        <f>K41-L41</f>
        <v>182.3900000000001</v>
      </c>
      <c r="N41" s="11">
        <f>IF(K41=0,"",ROUND((M41/K41),2))</f>
        <v>0.08</v>
      </c>
      <c r="P41" s="8">
        <v>2181.13</v>
      </c>
      <c r="Q41" s="9">
        <v>2159.5300000000002</v>
      </c>
      <c r="R41" s="10">
        <f>P41-Q41</f>
        <v>21.599999999999909</v>
      </c>
      <c r="S41" s="11">
        <f>IF(P41=0,"",ROUND((R41/P41),2))</f>
        <v>0.01</v>
      </c>
      <c r="U41" s="8">
        <v>1938.0000000000002</v>
      </c>
      <c r="V41" s="9">
        <v>2177.5299999999997</v>
      </c>
      <c r="W41" s="10">
        <f>U41-V41</f>
        <v>-239.52999999999952</v>
      </c>
      <c r="X41" s="11">
        <f>IF(U41=0,"",ROUND((W41/U41),2))</f>
        <v>-0.12</v>
      </c>
      <c r="Z41" s="8">
        <v>1837.03</v>
      </c>
      <c r="AA41" s="9">
        <v>2111.5299999999997</v>
      </c>
      <c r="AB41" s="10">
        <f>Z41-AA41</f>
        <v>-274.49999999999977</v>
      </c>
      <c r="AC41" s="11">
        <f>IF(Z41=0,"",ROUND((AB41/Z41),2))</f>
        <v>-0.15</v>
      </c>
      <c r="AE41" s="8">
        <v>2259.91</v>
      </c>
      <c r="AF41" s="9">
        <v>2237.5299999999997</v>
      </c>
      <c r="AG41" s="10">
        <f>AE41-AF41</f>
        <v>22.380000000000109</v>
      </c>
      <c r="AH41" s="11">
        <f>IF(AE41=0,"",ROUND((AG41/AE41),2))</f>
        <v>0.01</v>
      </c>
      <c r="AJ41" s="8">
        <v>2259.06</v>
      </c>
      <c r="AK41" s="9">
        <v>2072.5300000000002</v>
      </c>
      <c r="AL41" s="10">
        <f t="shared" si="2"/>
        <v>186.52999999999975</v>
      </c>
      <c r="AM41" s="11">
        <f t="shared" si="3"/>
        <v>0.08</v>
      </c>
    </row>
    <row r="42" spans="1:39" x14ac:dyDescent="0.25">
      <c r="A42" s="5" t="s">
        <v>27</v>
      </c>
      <c r="B42" s="5" t="str">
        <f>IF(AND(Heading=FALSE,BlankZero="Yes",MIN(K42:AP42)=0,MAX(K42:AP42)=0),"Hide","Show")</f>
        <v>Show</v>
      </c>
      <c r="D42" s="1" t="str">
        <f>"""NAV Direct"",""CRONUS JetCorp USA"",""15"",""1"",""65400"""</f>
        <v>"NAV Direct","CRONUS JetCorp USA","15","1","65400"</v>
      </c>
      <c r="E42" s="1" t="str">
        <f>"End-Total"</f>
        <v>End-Total</v>
      </c>
      <c r="F42" s="1" t="b">
        <f>OR(AccountType="Heading",AccountType="Begin-Total")</f>
        <v>0</v>
      </c>
      <c r="G42" s="1">
        <v>2</v>
      </c>
      <c r="H42" s="1" t="str">
        <f>IF(E42="Posting",_xll.NF(D42,"1 No."),IF(OR(E42="Total",E42="End-Total"),_xll.NF(D42,"34 Totaling"),"0"))</f>
        <v>65000..65400</v>
      </c>
      <c r="I42" s="4" t="str">
        <f>"          Total Bldg. Maint. Expenses"</f>
        <v xml:space="preserve">          Total Bldg. Maint. Expenses</v>
      </c>
      <c r="J42" s="19"/>
      <c r="K42" s="8">
        <v>4953.9799999999996</v>
      </c>
      <c r="L42" s="9">
        <v>4923.2699999999995</v>
      </c>
      <c r="M42" s="10">
        <f>K42-L42</f>
        <v>30.710000000000036</v>
      </c>
      <c r="N42" s="11">
        <f>IF(K42=0,"",ROUND((M42/K42),2))</f>
        <v>0.01</v>
      </c>
      <c r="P42" s="8">
        <v>4868.58</v>
      </c>
      <c r="Q42" s="9">
        <v>4877.2700000000004</v>
      </c>
      <c r="R42" s="10">
        <f>P42-Q42</f>
        <v>-8.6900000000005093</v>
      </c>
      <c r="S42" s="11">
        <f>IF(P42=0,"",ROUND((R42/P42),2))</f>
        <v>0</v>
      </c>
      <c r="U42" s="8">
        <v>4930.99</v>
      </c>
      <c r="V42" s="9">
        <v>5162.2699999999995</v>
      </c>
      <c r="W42" s="10">
        <f>U42-V42</f>
        <v>-231.27999999999975</v>
      </c>
      <c r="X42" s="11">
        <f>IF(U42=0,"",ROUND((W42/U42),2))</f>
        <v>-0.05</v>
      </c>
      <c r="Z42" s="8">
        <v>4777.3899999999994</v>
      </c>
      <c r="AA42" s="9">
        <v>5142.2700000000004</v>
      </c>
      <c r="AB42" s="10">
        <f>Z42-AA42</f>
        <v>-364.88000000000102</v>
      </c>
      <c r="AC42" s="11">
        <f>IF(Z42=0,"",ROUND((AB42/Z42),2))</f>
        <v>-0.08</v>
      </c>
      <c r="AE42" s="8">
        <v>5261.26</v>
      </c>
      <c r="AF42" s="9">
        <v>5108.2700000000004</v>
      </c>
      <c r="AG42" s="10">
        <f>AE42-AF42</f>
        <v>152.98999999999978</v>
      </c>
      <c r="AH42" s="11">
        <f>IF(AE42=0,"",ROUND((AG42/AE42),2))</f>
        <v>0.03</v>
      </c>
      <c r="AJ42" s="8">
        <v>5224.0700000000006</v>
      </c>
      <c r="AK42" s="9">
        <v>5080.2699999999995</v>
      </c>
      <c r="AL42" s="10">
        <f t="shared" si="2"/>
        <v>143.80000000000109</v>
      </c>
      <c r="AM42" s="11">
        <f t="shared" si="3"/>
        <v>0.03</v>
      </c>
    </row>
    <row r="43" spans="1:39" x14ac:dyDescent="0.25">
      <c r="A43" s="5" t="s">
        <v>27</v>
      </c>
      <c r="B43" s="5" t="str">
        <f>IF(AND(Heading=FALSE,BlankZero="Yes",MIN(K43:AP43)=0,MAX(K43:AP43)=0),"Hide","Show")</f>
        <v>Show</v>
      </c>
      <c r="D43" s="1" t="str">
        <f>"""NAV Direct"",""CRONUS JetCorp USA"",""15"",""1"",""65500"""</f>
        <v>"NAV Direct","CRONUS JetCorp USA","15","1","65500"</v>
      </c>
      <c r="E43" s="1" t="str">
        <f>"Begin-Total"</f>
        <v>Begin-Total</v>
      </c>
      <c r="F43" s="1" t="b">
        <f>OR(AccountType="Heading",AccountType="Begin-Total")</f>
        <v>1</v>
      </c>
      <c r="G43" s="1">
        <v>2</v>
      </c>
      <c r="H43" s="1" t="str">
        <f>IF(E43="Posting",_xll.NF(D43,"1 No."),IF(OR(E43="Total",E43="End-Total"),_xll.NF(D43,"34 Totaling"),"0"))</f>
        <v>0</v>
      </c>
      <c r="I43" s="4" t="str">
        <f>"          Administrative Expenses"</f>
        <v xml:space="preserve">          Administrative Expenses</v>
      </c>
      <c r="J43" s="19"/>
      <c r="K43" s="8">
        <v>0</v>
      </c>
      <c r="L43" s="9">
        <v>0</v>
      </c>
      <c r="M43" s="10">
        <f>K43-L43</f>
        <v>0</v>
      </c>
      <c r="N43" s="11" t="str">
        <f>IF(K43=0,"",ROUND((M43/K43),2))</f>
        <v/>
      </c>
      <c r="P43" s="8">
        <v>0</v>
      </c>
      <c r="Q43" s="9">
        <v>0</v>
      </c>
      <c r="R43" s="10">
        <f>P43-Q43</f>
        <v>0</v>
      </c>
      <c r="S43" s="11" t="str">
        <f>IF(P43=0,"",ROUND((R43/P43),2))</f>
        <v/>
      </c>
      <c r="U43" s="8">
        <v>0</v>
      </c>
      <c r="V43" s="9">
        <v>0</v>
      </c>
      <c r="W43" s="10">
        <f>U43-V43</f>
        <v>0</v>
      </c>
      <c r="X43" s="11" t="str">
        <f>IF(U43=0,"",ROUND((W43/U43),2))</f>
        <v/>
      </c>
      <c r="Z43" s="8">
        <v>0</v>
      </c>
      <c r="AA43" s="9">
        <v>0</v>
      </c>
      <c r="AB43" s="10">
        <f>Z43-AA43</f>
        <v>0</v>
      </c>
      <c r="AC43" s="11" t="str">
        <f>IF(Z43=0,"",ROUND((AB43/Z43),2))</f>
        <v/>
      </c>
      <c r="AE43" s="8">
        <v>0</v>
      </c>
      <c r="AF43" s="9">
        <v>0</v>
      </c>
      <c r="AG43" s="10">
        <f>AE43-AF43</f>
        <v>0</v>
      </c>
      <c r="AH43" s="11" t="str">
        <f>IF(AE43=0,"",ROUND((AG43/AE43),2))</f>
        <v/>
      </c>
      <c r="AJ43" s="8">
        <v>0</v>
      </c>
      <c r="AK43" s="9">
        <v>0</v>
      </c>
      <c r="AL43" s="10">
        <f t="shared" si="2"/>
        <v>0</v>
      </c>
      <c r="AM43" s="11" t="str">
        <f t="shared" si="3"/>
        <v/>
      </c>
    </row>
    <row r="44" spans="1:39" x14ac:dyDescent="0.25">
      <c r="A44" s="5" t="s">
        <v>27</v>
      </c>
      <c r="B44" s="5" t="str">
        <f>IF(AND(Heading=FALSE,BlankZero="Yes",MIN(K44:AP44)=0,MAX(K44:AP44)=0),"Hide","Show")</f>
        <v>Show</v>
      </c>
      <c r="D44" s="1" t="str">
        <f>"""NAV Direct"",""CRONUS JetCorp USA"",""15"",""1"",""65600"""</f>
        <v>"NAV Direct","CRONUS JetCorp USA","15","1","65600"</v>
      </c>
      <c r="E44" s="1" t="str">
        <f>"Posting"</f>
        <v>Posting</v>
      </c>
      <c r="F44" s="1" t="b">
        <f>OR(AccountType="Heading",AccountType="Begin-Total")</f>
        <v>0</v>
      </c>
      <c r="G44" s="1">
        <v>3</v>
      </c>
      <c r="H44" s="1" t="str">
        <f>IF(E44="Posting",_xll.NF(D44,"1 No."),IF(OR(E44="Total",E44="End-Total"),_xll.NF(D44,"34 Totaling"),"0"))</f>
        <v>65600</v>
      </c>
      <c r="I44" s="4" t="str">
        <f>"               Office Supplies"</f>
        <v xml:space="preserve">               Office Supplies</v>
      </c>
      <c r="J44" s="19"/>
      <c r="K44" s="8">
        <v>70.070000000000007</v>
      </c>
      <c r="L44" s="9">
        <v>79.61999999999999</v>
      </c>
      <c r="M44" s="10">
        <f>K44-L44</f>
        <v>-9.5499999999999829</v>
      </c>
      <c r="N44" s="11">
        <f>IF(K44=0,"",ROUND((M44/K44),2))</f>
        <v>-0.14000000000000001</v>
      </c>
      <c r="P44" s="8">
        <v>84.24</v>
      </c>
      <c r="Q44" s="9">
        <v>89.61999999999999</v>
      </c>
      <c r="R44" s="10">
        <f>P44-Q44</f>
        <v>-5.3799999999999955</v>
      </c>
      <c r="S44" s="11">
        <f>IF(P44=0,"",ROUND((R44/P44),2))</f>
        <v>-0.06</v>
      </c>
      <c r="U44" s="8">
        <v>71.009999999999991</v>
      </c>
      <c r="V44" s="9">
        <v>81.61999999999999</v>
      </c>
      <c r="W44" s="10">
        <f>U44-V44</f>
        <v>-10.61</v>
      </c>
      <c r="X44" s="11">
        <f>IF(U44=0,"",ROUND((W44/U44),2))</f>
        <v>-0.15</v>
      </c>
      <c r="Z44" s="8">
        <v>79.95</v>
      </c>
      <c r="AA44" s="9">
        <v>77.61999999999999</v>
      </c>
      <c r="AB44" s="10">
        <f>Z44-AA44</f>
        <v>2.3300000000000125</v>
      </c>
      <c r="AC44" s="11">
        <f>IF(Z44=0,"",ROUND((AB44/Z44),2))</f>
        <v>0.03</v>
      </c>
      <c r="AE44" s="8">
        <v>75.849999999999994</v>
      </c>
      <c r="AF44" s="9">
        <v>76.62</v>
      </c>
      <c r="AG44" s="10">
        <f>AE44-AF44</f>
        <v>-0.77000000000001023</v>
      </c>
      <c r="AH44" s="11">
        <f>IF(AE44=0,"",ROUND((AG44/AE44),2))</f>
        <v>-0.01</v>
      </c>
      <c r="AJ44" s="8">
        <v>89.47</v>
      </c>
      <c r="AK44" s="9">
        <v>83.61999999999999</v>
      </c>
      <c r="AL44" s="10">
        <f t="shared" si="2"/>
        <v>5.8500000000000085</v>
      </c>
      <c r="AM44" s="11">
        <f t="shared" si="3"/>
        <v>7.0000000000000007E-2</v>
      </c>
    </row>
    <row r="45" spans="1:39" x14ac:dyDescent="0.25">
      <c r="A45" s="5" t="s">
        <v>27</v>
      </c>
      <c r="B45" s="5" t="str">
        <f>IF(AND(Heading=FALSE,BlankZero="Yes",MIN(K45:AP45)=0,MAX(K45:AP45)=0),"Hide","Show")</f>
        <v>Show</v>
      </c>
      <c r="D45" s="1" t="str">
        <f>"""NAV Direct"",""CRONUS JetCorp USA"",""15"",""1"",""65700"""</f>
        <v>"NAV Direct","CRONUS JetCorp USA","15","1","65700"</v>
      </c>
      <c r="E45" s="1" t="str">
        <f>"Posting"</f>
        <v>Posting</v>
      </c>
      <c r="F45" s="1" t="b">
        <f>OR(AccountType="Heading",AccountType="Begin-Total")</f>
        <v>0</v>
      </c>
      <c r="G45" s="1">
        <v>3</v>
      </c>
      <c r="H45" s="1" t="str">
        <f>IF(E45="Posting",_xll.NF(D45,"1 No."),IF(OR(E45="Total",E45="End-Total"),_xll.NF(D45,"34 Totaling"),"0"))</f>
        <v>65700</v>
      </c>
      <c r="I45" s="4" t="str">
        <f>"               Phone and Fax"</f>
        <v xml:space="preserve">               Phone and Fax</v>
      </c>
      <c r="J45" s="19"/>
      <c r="K45" s="8">
        <v>2426.91</v>
      </c>
      <c r="L45" s="9">
        <v>2554.64</v>
      </c>
      <c r="M45" s="10">
        <f>K45-L45</f>
        <v>-127.73000000000002</v>
      </c>
      <c r="N45" s="11">
        <f>IF(K45=0,"",ROUND((M45/K45),2))</f>
        <v>-0.05</v>
      </c>
      <c r="P45" s="8">
        <v>2710.91</v>
      </c>
      <c r="Q45" s="9">
        <v>2606.64</v>
      </c>
      <c r="R45" s="10">
        <f>P45-Q45</f>
        <v>104.26999999999998</v>
      </c>
      <c r="S45" s="11">
        <f>IF(P45=0,"",ROUND((R45/P45),2))</f>
        <v>0.04</v>
      </c>
      <c r="U45" s="8">
        <v>2004.1699999999998</v>
      </c>
      <c r="V45" s="9">
        <v>2303.64</v>
      </c>
      <c r="W45" s="10">
        <f>U45-V45</f>
        <v>-299.47000000000003</v>
      </c>
      <c r="X45" s="11">
        <f>IF(U45=0,"",ROUND((W45/U45),2))</f>
        <v>-0.15</v>
      </c>
      <c r="Z45" s="8">
        <v>2037.76</v>
      </c>
      <c r="AA45" s="9">
        <v>2315.64</v>
      </c>
      <c r="AB45" s="10">
        <f>Z45-AA45</f>
        <v>-277.87999999999988</v>
      </c>
      <c r="AC45" s="11">
        <f>IF(Z45=0,"",ROUND((AB45/Z45),2))</f>
        <v>-0.14000000000000001</v>
      </c>
      <c r="AE45" s="8">
        <v>2617.9700000000003</v>
      </c>
      <c r="AF45" s="9">
        <v>2566.6400000000003</v>
      </c>
      <c r="AG45" s="10">
        <f>AE45-AF45</f>
        <v>51.329999999999927</v>
      </c>
      <c r="AH45" s="11">
        <f>IF(AE45=0,"",ROUND((AG45/AE45),2))</f>
        <v>0.02</v>
      </c>
      <c r="AJ45" s="8">
        <v>2074.87</v>
      </c>
      <c r="AK45" s="9">
        <v>2412.64</v>
      </c>
      <c r="AL45" s="10">
        <f t="shared" si="2"/>
        <v>-337.77</v>
      </c>
      <c r="AM45" s="11">
        <f t="shared" si="3"/>
        <v>-0.16</v>
      </c>
    </row>
    <row r="46" spans="1:39" x14ac:dyDescent="0.25">
      <c r="A46" s="5" t="s">
        <v>27</v>
      </c>
      <c r="B46" s="5" t="str">
        <f>IF(AND(Heading=FALSE,BlankZero="Yes",MIN(K46:AP46)=0,MAX(K46:AP46)=0),"Hide","Show")</f>
        <v>Show</v>
      </c>
      <c r="D46" s="1" t="str">
        <f>"""NAV Direct"",""CRONUS JetCorp USA"",""15"",""1"",""65800"""</f>
        <v>"NAV Direct","CRONUS JetCorp USA","15","1","65800"</v>
      </c>
      <c r="E46" s="1" t="str">
        <f>"Posting"</f>
        <v>Posting</v>
      </c>
      <c r="F46" s="1" t="b">
        <f>OR(AccountType="Heading",AccountType="Begin-Total")</f>
        <v>0</v>
      </c>
      <c r="G46" s="1">
        <v>3</v>
      </c>
      <c r="H46" s="1" t="str">
        <f>IF(E46="Posting",_xll.NF(D46,"1 No."),IF(OR(E46="Total",E46="End-Total"),_xll.NF(D46,"34 Totaling"),"0"))</f>
        <v>65800</v>
      </c>
      <c r="I46" s="4" t="str">
        <f>"               Postage"</f>
        <v xml:space="preserve">               Postage</v>
      </c>
      <c r="J46" s="19"/>
      <c r="K46" s="8">
        <v>430.33000000000004</v>
      </c>
      <c r="L46" s="9">
        <v>439.10999999999996</v>
      </c>
      <c r="M46" s="10">
        <f>K46-L46</f>
        <v>-8.7799999999999159</v>
      </c>
      <c r="N46" s="11">
        <f>IF(K46=0,"",ROUND((M46/K46),2))</f>
        <v>-0.02</v>
      </c>
      <c r="P46" s="8">
        <v>456.63</v>
      </c>
      <c r="Q46" s="9">
        <v>452.11</v>
      </c>
      <c r="R46" s="10">
        <f>P46-Q46</f>
        <v>4.5199999999999818</v>
      </c>
      <c r="S46" s="11">
        <f>IF(P46=0,"",ROUND((R46/P46),2))</f>
        <v>0.01</v>
      </c>
      <c r="U46" s="8">
        <v>397.04</v>
      </c>
      <c r="V46" s="9">
        <v>393.11</v>
      </c>
      <c r="W46" s="10">
        <f>U46-V46</f>
        <v>3.9300000000000068</v>
      </c>
      <c r="X46" s="11">
        <f>IF(U46=0,"",ROUND((W46/U46),2))</f>
        <v>0.01</v>
      </c>
      <c r="Z46" s="8">
        <v>407.79999999999995</v>
      </c>
      <c r="AA46" s="9">
        <v>453.10999999999996</v>
      </c>
      <c r="AB46" s="10">
        <f>Z46-AA46</f>
        <v>-45.31</v>
      </c>
      <c r="AC46" s="11">
        <f>IF(Z46=0,"",ROUND((AB46/Z46),2))</f>
        <v>-0.11</v>
      </c>
      <c r="AE46" s="8">
        <v>457.43</v>
      </c>
      <c r="AF46" s="9">
        <v>444.11</v>
      </c>
      <c r="AG46" s="10">
        <f>AE46-AF46</f>
        <v>13.319999999999993</v>
      </c>
      <c r="AH46" s="11">
        <f>IF(AE46=0,"",ROUND((AG46/AE46),2))</f>
        <v>0.03</v>
      </c>
      <c r="AJ46" s="8">
        <v>372.28999999999996</v>
      </c>
      <c r="AK46" s="9">
        <v>409.11</v>
      </c>
      <c r="AL46" s="10">
        <f t="shared" si="2"/>
        <v>-36.82000000000005</v>
      </c>
      <c r="AM46" s="11">
        <f t="shared" si="3"/>
        <v>-0.1</v>
      </c>
    </row>
    <row r="47" spans="1:39" x14ac:dyDescent="0.25">
      <c r="A47" s="5" t="s">
        <v>27</v>
      </c>
      <c r="B47" s="5" t="str">
        <f>IF(AND(Heading=FALSE,BlankZero="Yes",MIN(K47:AP47)=0,MAX(K47:AP47)=0),"Hide","Show")</f>
        <v>Show</v>
      </c>
      <c r="D47" s="1" t="str">
        <f>"""NAV Direct"",""CRONUS JetCorp USA"",""15"",""1"",""65900"""</f>
        <v>"NAV Direct","CRONUS JetCorp USA","15","1","65900"</v>
      </c>
      <c r="E47" s="1" t="str">
        <f>"End-Total"</f>
        <v>End-Total</v>
      </c>
      <c r="F47" s="1" t="b">
        <f>OR(AccountType="Heading",AccountType="Begin-Total")</f>
        <v>0</v>
      </c>
      <c r="G47" s="1">
        <v>2</v>
      </c>
      <c r="H47" s="1" t="str">
        <f>IF(E47="Posting",_xll.NF(D47,"1 No."),IF(OR(E47="Total",E47="End-Total"),_xll.NF(D47,"34 Totaling"),"0"))</f>
        <v>65500..65900</v>
      </c>
      <c r="I47" s="4" t="str">
        <f>"          Total Administrative Expenses"</f>
        <v xml:space="preserve">          Total Administrative Expenses</v>
      </c>
      <c r="J47" s="19"/>
      <c r="K47" s="8">
        <v>2927.31</v>
      </c>
      <c r="L47" s="9">
        <v>3073.37</v>
      </c>
      <c r="M47" s="10">
        <f>K47-L47</f>
        <v>-146.05999999999995</v>
      </c>
      <c r="N47" s="11">
        <f>IF(K47=0,"",ROUND((M47/K47),2))</f>
        <v>-0.05</v>
      </c>
      <c r="P47" s="8">
        <v>3251.7799999999997</v>
      </c>
      <c r="Q47" s="9">
        <v>3148.3700000000003</v>
      </c>
      <c r="R47" s="10">
        <f>P47-Q47</f>
        <v>103.4099999999994</v>
      </c>
      <c r="S47" s="11">
        <f>IF(P47=0,"",ROUND((R47/P47),2))</f>
        <v>0.03</v>
      </c>
      <c r="U47" s="8">
        <v>2472.2200000000003</v>
      </c>
      <c r="V47" s="9">
        <v>2778.3700000000003</v>
      </c>
      <c r="W47" s="10">
        <f>U47-V47</f>
        <v>-306.15000000000009</v>
      </c>
      <c r="X47" s="11">
        <f>IF(U47=0,"",ROUND((W47/U47),2))</f>
        <v>-0.12</v>
      </c>
      <c r="Z47" s="8">
        <v>2525.5100000000002</v>
      </c>
      <c r="AA47" s="9">
        <v>2846.37</v>
      </c>
      <c r="AB47" s="10">
        <f>Z47-AA47</f>
        <v>-320.85999999999967</v>
      </c>
      <c r="AC47" s="11">
        <f>IF(Z47=0,"",ROUND((AB47/Z47),2))</f>
        <v>-0.13</v>
      </c>
      <c r="AE47" s="8">
        <v>3151.25</v>
      </c>
      <c r="AF47" s="9">
        <v>3087.37</v>
      </c>
      <c r="AG47" s="10">
        <f>AE47-AF47</f>
        <v>63.880000000000109</v>
      </c>
      <c r="AH47" s="11">
        <f>IF(AE47=0,"",ROUND((AG47/AE47),2))</f>
        <v>0.02</v>
      </c>
      <c r="AJ47" s="8">
        <v>2536.63</v>
      </c>
      <c r="AK47" s="9">
        <v>2905.37</v>
      </c>
      <c r="AL47" s="10">
        <f t="shared" si="2"/>
        <v>-368.73999999999978</v>
      </c>
      <c r="AM47" s="11">
        <f t="shared" si="3"/>
        <v>-0.15</v>
      </c>
    </row>
    <row r="48" spans="1:39" x14ac:dyDescent="0.25">
      <c r="A48" s="5" t="s">
        <v>27</v>
      </c>
      <c r="B48" s="5" t="str">
        <f>IF(AND(Heading=FALSE,BlankZero="Yes",MIN(K48:AP48)=0,MAX(K48:AP48)=0),"Hide","Show")</f>
        <v>Show</v>
      </c>
      <c r="D48" s="1" t="str">
        <f>"""NAV Direct"",""CRONUS JetCorp USA"",""15"",""1"",""66000"""</f>
        <v>"NAV Direct","CRONUS JetCorp USA","15","1","66000"</v>
      </c>
      <c r="E48" s="1" t="str">
        <f>"Begin-Total"</f>
        <v>Begin-Total</v>
      </c>
      <c r="F48" s="1" t="b">
        <f>OR(AccountType="Heading",AccountType="Begin-Total")</f>
        <v>1</v>
      </c>
      <c r="G48" s="1">
        <v>2</v>
      </c>
      <c r="H48" s="1" t="str">
        <f>IF(E48="Posting",_xll.NF(D48,"1 No."),IF(OR(E48="Total",E48="End-Total"),_xll.NF(D48,"34 Totaling"),"0"))</f>
        <v>0</v>
      </c>
      <c r="I48" s="4" t="str">
        <f>"          Depreciation of Fixed Assets"</f>
        <v xml:space="preserve">          Depreciation of Fixed Assets</v>
      </c>
      <c r="J48" s="19"/>
      <c r="K48" s="8">
        <v>0</v>
      </c>
      <c r="L48" s="9">
        <v>0</v>
      </c>
      <c r="M48" s="10">
        <f>K48-L48</f>
        <v>0</v>
      </c>
      <c r="N48" s="11" t="str">
        <f>IF(K48=0,"",ROUND((M48/K48),2))</f>
        <v/>
      </c>
      <c r="P48" s="8">
        <v>0</v>
      </c>
      <c r="Q48" s="9">
        <v>0</v>
      </c>
      <c r="R48" s="10">
        <f>P48-Q48</f>
        <v>0</v>
      </c>
      <c r="S48" s="11" t="str">
        <f>IF(P48=0,"",ROUND((R48/P48),2))</f>
        <v/>
      </c>
      <c r="U48" s="8">
        <v>0</v>
      </c>
      <c r="V48" s="9">
        <v>0</v>
      </c>
      <c r="W48" s="10">
        <f>U48-V48</f>
        <v>0</v>
      </c>
      <c r="X48" s="11" t="str">
        <f>IF(U48=0,"",ROUND((W48/U48),2))</f>
        <v/>
      </c>
      <c r="Z48" s="8">
        <v>0</v>
      </c>
      <c r="AA48" s="9">
        <v>0</v>
      </c>
      <c r="AB48" s="10">
        <f>Z48-AA48</f>
        <v>0</v>
      </c>
      <c r="AC48" s="11" t="str">
        <f>IF(Z48=0,"",ROUND((AB48/Z48),2))</f>
        <v/>
      </c>
      <c r="AE48" s="8">
        <v>0</v>
      </c>
      <c r="AF48" s="9">
        <v>0</v>
      </c>
      <c r="AG48" s="10">
        <f>AE48-AF48</f>
        <v>0</v>
      </c>
      <c r="AH48" s="11" t="str">
        <f>IF(AE48=0,"",ROUND((AG48/AE48),2))</f>
        <v/>
      </c>
      <c r="AJ48" s="8">
        <v>0</v>
      </c>
      <c r="AK48" s="9">
        <v>0</v>
      </c>
      <c r="AL48" s="10">
        <f t="shared" si="2"/>
        <v>0</v>
      </c>
      <c r="AM48" s="11" t="str">
        <f t="shared" si="3"/>
        <v/>
      </c>
    </row>
    <row r="49" spans="1:41" hidden="1" x14ac:dyDescent="0.25">
      <c r="A49" s="5" t="s">
        <v>27</v>
      </c>
      <c r="B49" s="5" t="str">
        <f>IF(AND(Heading=FALSE,BlankZero="Yes",MIN(K49:AP49)=0,MAX(K49:AP49)=0),"Hide","Show")</f>
        <v>Hide</v>
      </c>
      <c r="D49" s="1" t="str">
        <f>"""NAV Direct"",""CRONUS JetCorp USA"",""15"",""1"",""66100"""</f>
        <v>"NAV Direct","CRONUS JetCorp USA","15","1","66100"</v>
      </c>
      <c r="E49" s="1" t="str">
        <f>"Posting"</f>
        <v>Posting</v>
      </c>
      <c r="F49" s="1" t="b">
        <f>OR(AccountType="Heading",AccountType="Begin-Total")</f>
        <v>0</v>
      </c>
      <c r="G49" s="1">
        <v>3</v>
      </c>
      <c r="H49" s="1" t="str">
        <f>IF(E49="Posting",_xll.NF(D49,"1 No."),IF(OR(E49="Total",E49="End-Total"),_xll.NF(D49,"34 Totaling"),"0"))</f>
        <v>66100</v>
      </c>
      <c r="I49" s="4" t="str">
        <f>"               Depreciation, Buildings"</f>
        <v xml:space="preserve">               Depreciation, Buildings</v>
      </c>
      <c r="J49" s="19"/>
      <c r="K49" s="8">
        <v>0</v>
      </c>
      <c r="L49" s="9">
        <v>0</v>
      </c>
      <c r="M49" s="10">
        <f>K49-L49</f>
        <v>0</v>
      </c>
      <c r="N49" s="11" t="str">
        <f>IF(K49=0,"",ROUND((M49/K49),2))</f>
        <v/>
      </c>
      <c r="P49" s="8">
        <v>0</v>
      </c>
      <c r="Q49" s="9">
        <v>0</v>
      </c>
      <c r="R49" s="10">
        <f>P49-Q49</f>
        <v>0</v>
      </c>
      <c r="S49" s="11" t="str">
        <f>IF(P49=0,"",ROUND((R49/P49),2))</f>
        <v/>
      </c>
      <c r="U49" s="8">
        <v>0</v>
      </c>
      <c r="V49" s="9">
        <v>0</v>
      </c>
      <c r="W49" s="10">
        <f>U49-V49</f>
        <v>0</v>
      </c>
      <c r="X49" s="11" t="str">
        <f>IF(U49=0,"",ROUND((W49/U49),2))</f>
        <v/>
      </c>
      <c r="Z49" s="8">
        <v>0</v>
      </c>
      <c r="AA49" s="9">
        <v>0</v>
      </c>
      <c r="AB49" s="10">
        <f>Z49-AA49</f>
        <v>0</v>
      </c>
      <c r="AC49" s="11" t="str">
        <f>IF(Z49=0,"",ROUND((AB49/Z49),2))</f>
        <v/>
      </c>
      <c r="AE49" s="8">
        <v>0</v>
      </c>
      <c r="AF49" s="9">
        <v>0</v>
      </c>
      <c r="AG49" s="10">
        <f>AE49-AF49</f>
        <v>0</v>
      </c>
      <c r="AH49" s="11" t="str">
        <f>IF(AE49=0,"",ROUND((AG49/AE49),2))</f>
        <v/>
      </c>
      <c r="AJ49" s="8">
        <v>0</v>
      </c>
      <c r="AK49" s="9">
        <v>0</v>
      </c>
      <c r="AL49" s="10">
        <f t="shared" si="2"/>
        <v>0</v>
      </c>
      <c r="AM49" s="11" t="str">
        <f t="shared" si="3"/>
        <v/>
      </c>
    </row>
    <row r="50" spans="1:41" hidden="1" x14ac:dyDescent="0.25">
      <c r="A50" s="5" t="s">
        <v>27</v>
      </c>
      <c r="B50" s="5" t="str">
        <f>IF(AND(Heading=FALSE,BlankZero="Yes",MIN(K50:AP50)=0,MAX(K50:AP50)=0),"Hide","Show")</f>
        <v>Hide</v>
      </c>
      <c r="D50" s="1" t="str">
        <f>"""NAV Direct"",""CRONUS JetCorp USA"",""15"",""1"",""66200"""</f>
        <v>"NAV Direct","CRONUS JetCorp USA","15","1","66200"</v>
      </c>
      <c r="E50" s="1" t="str">
        <f>"Posting"</f>
        <v>Posting</v>
      </c>
      <c r="F50" s="1" t="b">
        <f>OR(AccountType="Heading",AccountType="Begin-Total")</f>
        <v>0</v>
      </c>
      <c r="G50" s="1">
        <v>3</v>
      </c>
      <c r="H50" s="1" t="str">
        <f>IF(E50="Posting",_xll.NF(D50,"1 No."),IF(OR(E50="Total",E50="End-Total"),_xll.NF(D50,"34 Totaling"),"0"))</f>
        <v>66200</v>
      </c>
      <c r="I50" s="4" t="str">
        <f>"               Depreciation, Equipment"</f>
        <v xml:space="preserve">               Depreciation, Equipment</v>
      </c>
      <c r="J50" s="19"/>
      <c r="K50" s="8">
        <v>0</v>
      </c>
      <c r="L50" s="9">
        <v>0</v>
      </c>
      <c r="M50" s="10">
        <f>K50-L50</f>
        <v>0</v>
      </c>
      <c r="N50" s="11" t="str">
        <f>IF(K50=0,"",ROUND((M50/K50),2))</f>
        <v/>
      </c>
      <c r="P50" s="8">
        <v>0</v>
      </c>
      <c r="Q50" s="9">
        <v>0</v>
      </c>
      <c r="R50" s="10">
        <f>P50-Q50</f>
        <v>0</v>
      </c>
      <c r="S50" s="11" t="str">
        <f>IF(P50=0,"",ROUND((R50/P50),2))</f>
        <v/>
      </c>
      <c r="U50" s="8">
        <v>0</v>
      </c>
      <c r="V50" s="9">
        <v>0</v>
      </c>
      <c r="W50" s="10">
        <f>U50-V50</f>
        <v>0</v>
      </c>
      <c r="X50" s="11" t="str">
        <f>IF(U50=0,"",ROUND((W50/U50),2))</f>
        <v/>
      </c>
      <c r="Z50" s="8">
        <v>0</v>
      </c>
      <c r="AA50" s="9">
        <v>0</v>
      </c>
      <c r="AB50" s="10">
        <f>Z50-AA50</f>
        <v>0</v>
      </c>
      <c r="AC50" s="11" t="str">
        <f>IF(Z50=0,"",ROUND((AB50/Z50),2))</f>
        <v/>
      </c>
      <c r="AE50" s="8">
        <v>0</v>
      </c>
      <c r="AF50" s="9">
        <v>0</v>
      </c>
      <c r="AG50" s="10">
        <f>AE50-AF50</f>
        <v>0</v>
      </c>
      <c r="AH50" s="11" t="str">
        <f>IF(AE50=0,"",ROUND((AG50/AE50),2))</f>
        <v/>
      </c>
      <c r="AJ50" s="8">
        <v>0</v>
      </c>
      <c r="AK50" s="9">
        <v>0</v>
      </c>
      <c r="AL50" s="10">
        <f t="shared" si="2"/>
        <v>0</v>
      </c>
      <c r="AM50" s="11" t="str">
        <f t="shared" si="3"/>
        <v/>
      </c>
    </row>
    <row r="51" spans="1:41" hidden="1" x14ac:dyDescent="0.25">
      <c r="A51" s="5" t="s">
        <v>27</v>
      </c>
      <c r="B51" s="5" t="str">
        <f>IF(AND(Heading=FALSE,BlankZero="Yes",MIN(K51:AP51)=0,MAX(K51:AP51)=0),"Hide","Show")</f>
        <v>Hide</v>
      </c>
      <c r="D51" s="1" t="str">
        <f>"""NAV Direct"",""CRONUS JetCorp USA"",""15"",""1"",""66300"""</f>
        <v>"NAV Direct","CRONUS JetCorp USA","15","1","66300"</v>
      </c>
      <c r="E51" s="1" t="str">
        <f>"Posting"</f>
        <v>Posting</v>
      </c>
      <c r="F51" s="1" t="b">
        <f>OR(AccountType="Heading",AccountType="Begin-Total")</f>
        <v>0</v>
      </c>
      <c r="G51" s="1">
        <v>3</v>
      </c>
      <c r="H51" s="1" t="str">
        <f>IF(E51="Posting",_xll.NF(D51,"1 No."),IF(OR(E51="Total",E51="End-Total"),_xll.NF(D51,"34 Totaling"),"0"))</f>
        <v>66300</v>
      </c>
      <c r="I51" s="4" t="str">
        <f>"               Depreciation, Vehicles"</f>
        <v xml:space="preserve">               Depreciation, Vehicles</v>
      </c>
      <c r="J51" s="19"/>
      <c r="K51" s="8">
        <v>0</v>
      </c>
      <c r="L51" s="9">
        <v>0</v>
      </c>
      <c r="M51" s="10">
        <f>K51-L51</f>
        <v>0</v>
      </c>
      <c r="N51" s="11" t="str">
        <f>IF(K51=0,"",ROUND((M51/K51),2))</f>
        <v/>
      </c>
      <c r="P51" s="8">
        <v>0</v>
      </c>
      <c r="Q51" s="9">
        <v>0</v>
      </c>
      <c r="R51" s="10">
        <f>P51-Q51</f>
        <v>0</v>
      </c>
      <c r="S51" s="11" t="str">
        <f>IF(P51=0,"",ROUND((R51/P51),2))</f>
        <v/>
      </c>
      <c r="U51" s="8">
        <v>0</v>
      </c>
      <c r="V51" s="9">
        <v>0</v>
      </c>
      <c r="W51" s="10">
        <f>U51-V51</f>
        <v>0</v>
      </c>
      <c r="X51" s="11" t="str">
        <f>IF(U51=0,"",ROUND((W51/U51),2))</f>
        <v/>
      </c>
      <c r="Z51" s="8">
        <v>0</v>
      </c>
      <c r="AA51" s="9">
        <v>0</v>
      </c>
      <c r="AB51" s="10">
        <f>Z51-AA51</f>
        <v>0</v>
      </c>
      <c r="AC51" s="11" t="str">
        <f>IF(Z51=0,"",ROUND((AB51/Z51),2))</f>
        <v/>
      </c>
      <c r="AE51" s="8">
        <v>0</v>
      </c>
      <c r="AF51" s="9">
        <v>0</v>
      </c>
      <c r="AG51" s="10">
        <f>AE51-AF51</f>
        <v>0</v>
      </c>
      <c r="AH51" s="11" t="str">
        <f>IF(AE51=0,"",ROUND((AG51/AE51),2))</f>
        <v/>
      </c>
      <c r="AJ51" s="8">
        <v>0</v>
      </c>
      <c r="AK51" s="9">
        <v>0</v>
      </c>
      <c r="AL51" s="10">
        <f t="shared" si="2"/>
        <v>0</v>
      </c>
      <c r="AM51" s="11" t="str">
        <f t="shared" si="3"/>
        <v/>
      </c>
    </row>
    <row r="52" spans="1:41" hidden="1" x14ac:dyDescent="0.25">
      <c r="A52" s="5" t="s">
        <v>27</v>
      </c>
      <c r="B52" s="5" t="str">
        <f>IF(AND(Heading=FALSE,BlankZero="Yes",MIN(K52:AP52)=0,MAX(K52:AP52)=0),"Hide","Show")</f>
        <v>Hide</v>
      </c>
      <c r="D52" s="1" t="str">
        <f>"""NAV Direct"",""CRONUS JetCorp USA"",""15"",""1"",""66400"""</f>
        <v>"NAV Direct","CRONUS JetCorp USA","15","1","66400"</v>
      </c>
      <c r="E52" s="1" t="str">
        <f>"End-Total"</f>
        <v>End-Total</v>
      </c>
      <c r="F52" s="1" t="b">
        <f>OR(AccountType="Heading",AccountType="Begin-Total")</f>
        <v>0</v>
      </c>
      <c r="G52" s="1">
        <v>2</v>
      </c>
      <c r="H52" s="1" t="str">
        <f>IF(E52="Posting",_xll.NF(D52,"1 No."),IF(OR(E52="Total",E52="End-Total"),_xll.NF(D52,"34 Totaling"),"0"))</f>
        <v>66000..66400</v>
      </c>
      <c r="I52" s="4" t="str">
        <f>"          Total Fixed Asset Depreciation"</f>
        <v xml:space="preserve">          Total Fixed Asset Depreciation</v>
      </c>
      <c r="J52" s="19"/>
      <c r="K52" s="8">
        <v>0</v>
      </c>
      <c r="L52" s="9">
        <v>0</v>
      </c>
      <c r="M52" s="10">
        <f>K52-L52</f>
        <v>0</v>
      </c>
      <c r="N52" s="11" t="str">
        <f>IF(K52=0,"",ROUND((M52/K52),2))</f>
        <v/>
      </c>
      <c r="P52" s="8">
        <v>0</v>
      </c>
      <c r="Q52" s="9">
        <v>0</v>
      </c>
      <c r="R52" s="10">
        <f>P52-Q52</f>
        <v>0</v>
      </c>
      <c r="S52" s="11" t="str">
        <f>IF(P52=0,"",ROUND((R52/P52),2))</f>
        <v/>
      </c>
      <c r="U52" s="8">
        <v>0</v>
      </c>
      <c r="V52" s="9">
        <v>0</v>
      </c>
      <c r="W52" s="10">
        <f>U52-V52</f>
        <v>0</v>
      </c>
      <c r="X52" s="11" t="str">
        <f>IF(U52=0,"",ROUND((W52/U52),2))</f>
        <v/>
      </c>
      <c r="Z52" s="8">
        <v>0</v>
      </c>
      <c r="AA52" s="9">
        <v>0</v>
      </c>
      <c r="AB52" s="10">
        <f>Z52-AA52</f>
        <v>0</v>
      </c>
      <c r="AC52" s="11" t="str">
        <f>IF(Z52=0,"",ROUND((AB52/Z52),2))</f>
        <v/>
      </c>
      <c r="AE52" s="8">
        <v>0</v>
      </c>
      <c r="AF52" s="9">
        <v>0</v>
      </c>
      <c r="AG52" s="10">
        <f>AE52-AF52</f>
        <v>0</v>
      </c>
      <c r="AH52" s="11" t="str">
        <f>IF(AE52=0,"",ROUND((AG52/AE52),2))</f>
        <v/>
      </c>
      <c r="AJ52" s="8">
        <v>0</v>
      </c>
      <c r="AK52" s="9">
        <v>0</v>
      </c>
      <c r="AL52" s="10">
        <f t="shared" si="2"/>
        <v>0</v>
      </c>
      <c r="AM52" s="11" t="str">
        <f t="shared" si="3"/>
        <v/>
      </c>
    </row>
    <row r="53" spans="1:41" x14ac:dyDescent="0.25">
      <c r="A53" s="5" t="s">
        <v>27</v>
      </c>
      <c r="B53" s="5" t="str">
        <f>IF(AND(Heading=FALSE,BlankZero="Yes",MIN(K53:AP53)=0,MAX(K53:AP53)=0),"Hide","Show")</f>
        <v>Show</v>
      </c>
      <c r="D53" s="1" t="str">
        <f>"""NAV Direct"",""CRONUS JetCorp USA"",""15"",""1"",""67000"""</f>
        <v>"NAV Direct","CRONUS JetCorp USA","15","1","67000"</v>
      </c>
      <c r="E53" s="1" t="str">
        <f>"Begin-Total"</f>
        <v>Begin-Total</v>
      </c>
      <c r="F53" s="1" t="b">
        <f>OR(AccountType="Heading",AccountType="Begin-Total")</f>
        <v>1</v>
      </c>
      <c r="G53" s="1">
        <v>2</v>
      </c>
      <c r="H53" s="1" t="str">
        <f>IF(E53="Posting",_xll.NF(D53,"1 No."),IF(OR(E53="Total",E53="End-Total"),_xll.NF(D53,"34 Totaling"),"0"))</f>
        <v>0</v>
      </c>
      <c r="I53" s="4" t="str">
        <f>"          Other Operating Expenses"</f>
        <v xml:space="preserve">          Other Operating Expenses</v>
      </c>
      <c r="J53" s="19"/>
      <c r="K53" s="8">
        <v>0</v>
      </c>
      <c r="L53" s="9">
        <v>0</v>
      </c>
      <c r="M53" s="10">
        <f>K53-L53</f>
        <v>0</v>
      </c>
      <c r="N53" s="11" t="str">
        <f>IF(K53=0,"",ROUND((M53/K53),2))</f>
        <v/>
      </c>
      <c r="P53" s="8">
        <v>0</v>
      </c>
      <c r="Q53" s="9">
        <v>0</v>
      </c>
      <c r="R53" s="10">
        <f>P53-Q53</f>
        <v>0</v>
      </c>
      <c r="S53" s="11" t="str">
        <f>IF(P53=0,"",ROUND((R53/P53),2))</f>
        <v/>
      </c>
      <c r="U53" s="8">
        <v>0</v>
      </c>
      <c r="V53" s="9">
        <v>0</v>
      </c>
      <c r="W53" s="10">
        <f>U53-V53</f>
        <v>0</v>
      </c>
      <c r="X53" s="11" t="str">
        <f>IF(U53=0,"",ROUND((W53/U53),2))</f>
        <v/>
      </c>
      <c r="Z53" s="8">
        <v>0</v>
      </c>
      <c r="AA53" s="9">
        <v>0</v>
      </c>
      <c r="AB53" s="10">
        <f>Z53-AA53</f>
        <v>0</v>
      </c>
      <c r="AC53" s="11" t="str">
        <f>IF(Z53=0,"",ROUND((AB53/Z53),2))</f>
        <v/>
      </c>
      <c r="AE53" s="8">
        <v>0</v>
      </c>
      <c r="AF53" s="9">
        <v>0</v>
      </c>
      <c r="AG53" s="10">
        <f>AE53-AF53</f>
        <v>0</v>
      </c>
      <c r="AH53" s="11" t="str">
        <f>IF(AE53=0,"",ROUND((AG53/AE53),2))</f>
        <v/>
      </c>
      <c r="AJ53" s="8">
        <v>0</v>
      </c>
      <c r="AK53" s="9">
        <v>0</v>
      </c>
      <c r="AL53" s="10">
        <f t="shared" si="2"/>
        <v>0</v>
      </c>
      <c r="AM53" s="11" t="str">
        <f t="shared" si="3"/>
        <v/>
      </c>
    </row>
    <row r="54" spans="1:41" hidden="1" x14ac:dyDescent="0.25">
      <c r="A54" s="5" t="s">
        <v>27</v>
      </c>
      <c r="B54" s="5" t="str">
        <f>IF(AND(Heading=FALSE,BlankZero="Yes",MIN(K54:AP54)=0,MAX(K54:AP54)=0),"Hide","Show")</f>
        <v>Hide</v>
      </c>
      <c r="D54" s="1" t="str">
        <f>"""NAV Direct"",""CRONUS JetCorp USA"",""15"",""1"",""67100"""</f>
        <v>"NAV Direct","CRONUS JetCorp USA","15","1","67100"</v>
      </c>
      <c r="E54" s="1" t="str">
        <f>"Posting"</f>
        <v>Posting</v>
      </c>
      <c r="F54" s="1" t="b">
        <f>OR(AccountType="Heading",AccountType="Begin-Total")</f>
        <v>0</v>
      </c>
      <c r="G54" s="1">
        <v>3</v>
      </c>
      <c r="H54" s="1" t="str">
        <f>IF(E54="Posting",_xll.NF(D54,"1 No."),IF(OR(E54="Total",E54="End-Total"),_xll.NF(D54,"34 Totaling"),"0"))</f>
        <v>67100</v>
      </c>
      <c r="I54" s="4" t="str">
        <f>"               Cash Discrepancies"</f>
        <v xml:space="preserve">               Cash Discrepancies</v>
      </c>
      <c r="J54" s="19"/>
      <c r="K54" s="8">
        <v>0</v>
      </c>
      <c r="L54" s="9">
        <v>0</v>
      </c>
      <c r="M54" s="10">
        <f>K54-L54</f>
        <v>0</v>
      </c>
      <c r="N54" s="11" t="str">
        <f>IF(K54=0,"",ROUND((M54/K54),2))</f>
        <v/>
      </c>
      <c r="P54" s="8">
        <v>0</v>
      </c>
      <c r="Q54" s="9">
        <v>0</v>
      </c>
      <c r="R54" s="10">
        <f>P54-Q54</f>
        <v>0</v>
      </c>
      <c r="S54" s="11" t="str">
        <f>IF(P54=0,"",ROUND((R54/P54),2))</f>
        <v/>
      </c>
      <c r="U54" s="8">
        <v>0</v>
      </c>
      <c r="V54" s="9">
        <v>0</v>
      </c>
      <c r="W54" s="10">
        <f>U54-V54</f>
        <v>0</v>
      </c>
      <c r="X54" s="11" t="str">
        <f>IF(U54=0,"",ROUND((W54/U54),2))</f>
        <v/>
      </c>
      <c r="Z54" s="8">
        <v>0</v>
      </c>
      <c r="AA54" s="9">
        <v>0</v>
      </c>
      <c r="AB54" s="10">
        <f>Z54-AA54</f>
        <v>0</v>
      </c>
      <c r="AC54" s="11" t="str">
        <f>IF(Z54=0,"",ROUND((AB54/Z54),2))</f>
        <v/>
      </c>
      <c r="AE54" s="8">
        <v>0</v>
      </c>
      <c r="AF54" s="9">
        <v>0</v>
      </c>
      <c r="AG54" s="10">
        <f>AE54-AF54</f>
        <v>0</v>
      </c>
      <c r="AH54" s="11" t="str">
        <f>IF(AE54=0,"",ROUND((AG54/AE54),2))</f>
        <v/>
      </c>
      <c r="AJ54" s="8">
        <v>0</v>
      </c>
      <c r="AK54" s="9">
        <v>0</v>
      </c>
      <c r="AL54" s="10">
        <f t="shared" si="2"/>
        <v>0</v>
      </c>
      <c r="AM54" s="11" t="str">
        <f t="shared" si="3"/>
        <v/>
      </c>
    </row>
    <row r="55" spans="1:41" hidden="1" x14ac:dyDescent="0.25">
      <c r="A55" s="5" t="s">
        <v>27</v>
      </c>
      <c r="B55" s="5" t="str">
        <f>IF(AND(Heading=FALSE,BlankZero="Yes",MIN(K55:AP55)=0,MAX(K55:AP55)=0),"Hide","Show")</f>
        <v>Hide</v>
      </c>
      <c r="D55" s="1" t="str">
        <f>"""NAV Direct"",""CRONUS JetCorp USA"",""15"",""1"",""67200"""</f>
        <v>"NAV Direct","CRONUS JetCorp USA","15","1","67200"</v>
      </c>
      <c r="E55" s="1" t="str">
        <f>"Posting"</f>
        <v>Posting</v>
      </c>
      <c r="F55" s="1" t="b">
        <f>OR(AccountType="Heading",AccountType="Begin-Total")</f>
        <v>0</v>
      </c>
      <c r="G55" s="1">
        <v>3</v>
      </c>
      <c r="H55" s="1" t="str">
        <f>IF(E55="Posting",_xll.NF(D55,"1 No."),IF(OR(E55="Total",E55="End-Total"),_xll.NF(D55,"34 Totaling"),"0"))</f>
        <v>67200</v>
      </c>
      <c r="I55" s="4" t="str">
        <f>"               Bad Debt Expenses"</f>
        <v xml:space="preserve">               Bad Debt Expenses</v>
      </c>
      <c r="J55" s="19"/>
      <c r="K55" s="8">
        <v>0</v>
      </c>
      <c r="L55" s="9">
        <v>0</v>
      </c>
      <c r="M55" s="10">
        <f>K55-L55</f>
        <v>0</v>
      </c>
      <c r="N55" s="11" t="str">
        <f>IF(K55=0,"",ROUND((M55/K55),2))</f>
        <v/>
      </c>
      <c r="P55" s="8">
        <v>0</v>
      </c>
      <c r="Q55" s="9">
        <v>0</v>
      </c>
      <c r="R55" s="10">
        <f>P55-Q55</f>
        <v>0</v>
      </c>
      <c r="S55" s="11" t="str">
        <f>IF(P55=0,"",ROUND((R55/P55),2))</f>
        <v/>
      </c>
      <c r="U55" s="8">
        <v>0</v>
      </c>
      <c r="V55" s="9">
        <v>0</v>
      </c>
      <c r="W55" s="10">
        <f>U55-V55</f>
        <v>0</v>
      </c>
      <c r="X55" s="11" t="str">
        <f>IF(U55=0,"",ROUND((W55/U55),2))</f>
        <v/>
      </c>
      <c r="Z55" s="8">
        <v>0</v>
      </c>
      <c r="AA55" s="9">
        <v>0</v>
      </c>
      <c r="AB55" s="10">
        <f>Z55-AA55</f>
        <v>0</v>
      </c>
      <c r="AC55" s="11" t="str">
        <f>IF(Z55=0,"",ROUND((AB55/Z55),2))</f>
        <v/>
      </c>
      <c r="AE55" s="8">
        <v>0</v>
      </c>
      <c r="AF55" s="9">
        <v>0</v>
      </c>
      <c r="AG55" s="10">
        <f>AE55-AF55</f>
        <v>0</v>
      </c>
      <c r="AH55" s="11" t="str">
        <f>IF(AE55=0,"",ROUND((AG55/AE55),2))</f>
        <v/>
      </c>
      <c r="AJ55" s="8">
        <v>0</v>
      </c>
      <c r="AK55" s="9">
        <v>0</v>
      </c>
      <c r="AL55" s="10">
        <f t="shared" si="2"/>
        <v>0</v>
      </c>
      <c r="AM55" s="11" t="str">
        <f t="shared" si="3"/>
        <v/>
      </c>
    </row>
    <row r="56" spans="1:41" hidden="1" x14ac:dyDescent="0.25">
      <c r="A56" s="5" t="s">
        <v>27</v>
      </c>
      <c r="B56" s="5" t="str">
        <f>IF(AND(Heading=FALSE,BlankZero="Yes",MIN(K56:AP56)=0,MAX(K56:AP56)=0),"Hide","Show")</f>
        <v>Hide</v>
      </c>
      <c r="D56" s="1" t="str">
        <f>"""NAV Direct"",""CRONUS JetCorp USA"",""15"",""1"",""67300"""</f>
        <v>"NAV Direct","CRONUS JetCorp USA","15","1","67300"</v>
      </c>
      <c r="E56" s="1" t="str">
        <f>"Posting"</f>
        <v>Posting</v>
      </c>
      <c r="F56" s="1" t="b">
        <f>OR(AccountType="Heading",AccountType="Begin-Total")</f>
        <v>0</v>
      </c>
      <c r="G56" s="1">
        <v>3</v>
      </c>
      <c r="H56" s="1" t="str">
        <f>IF(E56="Posting",_xll.NF(D56,"1 No."),IF(OR(E56="Total",E56="End-Total"),_xll.NF(D56,"34 Totaling"),"0"))</f>
        <v>67300</v>
      </c>
      <c r="I56" s="4" t="str">
        <f>"               Legal and Accounting Services"</f>
        <v xml:space="preserve">               Legal and Accounting Services</v>
      </c>
      <c r="J56" s="19"/>
      <c r="K56" s="8">
        <v>0</v>
      </c>
      <c r="L56" s="9">
        <v>0</v>
      </c>
      <c r="M56" s="10">
        <f>K56-L56</f>
        <v>0</v>
      </c>
      <c r="N56" s="11" t="str">
        <f>IF(K56=0,"",ROUND((M56/K56),2))</f>
        <v/>
      </c>
      <c r="P56" s="8">
        <v>0</v>
      </c>
      <c r="Q56" s="9">
        <v>0</v>
      </c>
      <c r="R56" s="10">
        <f>P56-Q56</f>
        <v>0</v>
      </c>
      <c r="S56" s="11" t="str">
        <f>IF(P56=0,"",ROUND((R56/P56),2))</f>
        <v/>
      </c>
      <c r="U56" s="8">
        <v>0</v>
      </c>
      <c r="V56" s="9">
        <v>0</v>
      </c>
      <c r="W56" s="10">
        <f>U56-V56</f>
        <v>0</v>
      </c>
      <c r="X56" s="11" t="str">
        <f>IF(U56=0,"",ROUND((W56/U56),2))</f>
        <v/>
      </c>
      <c r="Z56" s="8">
        <v>0</v>
      </c>
      <c r="AA56" s="9">
        <v>0</v>
      </c>
      <c r="AB56" s="10">
        <f>Z56-AA56</f>
        <v>0</v>
      </c>
      <c r="AC56" s="11" t="str">
        <f>IF(Z56=0,"",ROUND((AB56/Z56),2))</f>
        <v/>
      </c>
      <c r="AE56" s="8">
        <v>0</v>
      </c>
      <c r="AF56" s="9">
        <v>0</v>
      </c>
      <c r="AG56" s="10">
        <f>AE56-AF56</f>
        <v>0</v>
      </c>
      <c r="AH56" s="11" t="str">
        <f>IF(AE56=0,"",ROUND((AG56/AE56),2))</f>
        <v/>
      </c>
      <c r="AJ56" s="8">
        <v>0</v>
      </c>
      <c r="AK56" s="9">
        <v>0</v>
      </c>
      <c r="AL56" s="10">
        <f t="shared" si="2"/>
        <v>0</v>
      </c>
      <c r="AM56" s="11" t="str">
        <f t="shared" si="3"/>
        <v/>
      </c>
    </row>
    <row r="57" spans="1:41" hidden="1" x14ac:dyDescent="0.25">
      <c r="A57" s="5" t="s">
        <v>27</v>
      </c>
      <c r="B57" s="5" t="str">
        <f>IF(AND(Heading=FALSE,BlankZero="Yes",MIN(K57:AP57)=0,MAX(K57:AP57)=0),"Hide","Show")</f>
        <v>Hide</v>
      </c>
      <c r="D57" s="1" t="str">
        <f>"""NAV Direct"",""CRONUS JetCorp USA"",""15"",""1"",""67400"""</f>
        <v>"NAV Direct","CRONUS JetCorp USA","15","1","67400"</v>
      </c>
      <c r="E57" s="1" t="str">
        <f>"Posting"</f>
        <v>Posting</v>
      </c>
      <c r="F57" s="1" t="b">
        <f>OR(AccountType="Heading",AccountType="Begin-Total")</f>
        <v>0</v>
      </c>
      <c r="G57" s="1">
        <v>3</v>
      </c>
      <c r="H57" s="1" t="str">
        <f>IF(E57="Posting",_xll.NF(D57,"1 No."),IF(OR(E57="Total",E57="End-Total"),_xll.NF(D57,"34 Totaling"),"0"))</f>
        <v>67400</v>
      </c>
      <c r="I57" s="4" t="str">
        <f>"               Miscellaneous"</f>
        <v xml:space="preserve">               Miscellaneous</v>
      </c>
      <c r="J57" s="19"/>
      <c r="K57" s="8">
        <v>0</v>
      </c>
      <c r="L57" s="9">
        <v>0</v>
      </c>
      <c r="M57" s="10">
        <f>K57-L57</f>
        <v>0</v>
      </c>
      <c r="N57" s="11" t="str">
        <f>IF(K57=0,"",ROUND((M57/K57),2))</f>
        <v/>
      </c>
      <c r="P57" s="8">
        <v>0</v>
      </c>
      <c r="Q57" s="9">
        <v>0</v>
      </c>
      <c r="R57" s="10">
        <f>P57-Q57</f>
        <v>0</v>
      </c>
      <c r="S57" s="11" t="str">
        <f>IF(P57=0,"",ROUND((R57/P57),2))</f>
        <v/>
      </c>
      <c r="U57" s="8">
        <v>0</v>
      </c>
      <c r="V57" s="9">
        <v>0</v>
      </c>
      <c r="W57" s="10">
        <f>U57-V57</f>
        <v>0</v>
      </c>
      <c r="X57" s="11" t="str">
        <f>IF(U57=0,"",ROUND((W57/U57),2))</f>
        <v/>
      </c>
      <c r="Z57" s="8">
        <v>0</v>
      </c>
      <c r="AA57" s="9">
        <v>0</v>
      </c>
      <c r="AB57" s="10">
        <f>Z57-AA57</f>
        <v>0</v>
      </c>
      <c r="AC57" s="11" t="str">
        <f>IF(Z57=0,"",ROUND((AB57/Z57),2))</f>
        <v/>
      </c>
      <c r="AE57" s="8">
        <v>0</v>
      </c>
      <c r="AF57" s="9">
        <v>0</v>
      </c>
      <c r="AG57" s="10">
        <f>AE57-AF57</f>
        <v>0</v>
      </c>
      <c r="AH57" s="11" t="str">
        <f>IF(AE57=0,"",ROUND((AG57/AE57),2))</f>
        <v/>
      </c>
      <c r="AJ57" s="8">
        <v>0</v>
      </c>
      <c r="AK57" s="9">
        <v>0</v>
      </c>
      <c r="AL57" s="10">
        <f t="shared" si="2"/>
        <v>0</v>
      </c>
      <c r="AM57" s="11" t="str">
        <f t="shared" si="3"/>
        <v/>
      </c>
    </row>
    <row r="58" spans="1:41" hidden="1" x14ac:dyDescent="0.25">
      <c r="A58" s="5" t="s">
        <v>27</v>
      </c>
      <c r="B58" s="5" t="str">
        <f>IF(AND(Heading=FALSE,BlankZero="Yes",MIN(K58:AP58)=0,MAX(K58:AP58)=0),"Hide","Show")</f>
        <v>Hide</v>
      </c>
      <c r="D58" s="1" t="str">
        <f>"""NAV Direct"",""CRONUS JetCorp USA"",""15"",""1"",""67500"""</f>
        <v>"NAV Direct","CRONUS JetCorp USA","15","1","67500"</v>
      </c>
      <c r="E58" s="1" t="str">
        <f>"Posting"</f>
        <v>Posting</v>
      </c>
      <c r="F58" s="1" t="b">
        <f>OR(AccountType="Heading",AccountType="Begin-Total")</f>
        <v>0</v>
      </c>
      <c r="G58" s="1">
        <v>3</v>
      </c>
      <c r="H58" s="1" t="str">
        <f>IF(E58="Posting",_xll.NF(D58,"1 No."),IF(OR(E58="Total",E58="End-Total"),_xll.NF(D58,"34 Totaling"),"0"))</f>
        <v>67500</v>
      </c>
      <c r="I58" s="4" t="str">
        <f>"               Other Costs of Operations"</f>
        <v xml:space="preserve">               Other Costs of Operations</v>
      </c>
      <c r="J58" s="19"/>
      <c r="K58" s="8">
        <v>0</v>
      </c>
      <c r="L58" s="9">
        <v>0</v>
      </c>
      <c r="M58" s="10">
        <f>K58-L58</f>
        <v>0</v>
      </c>
      <c r="N58" s="11" t="str">
        <f>IF(K58=0,"",ROUND((M58/K58),2))</f>
        <v/>
      </c>
      <c r="P58" s="8">
        <v>0</v>
      </c>
      <c r="Q58" s="9">
        <v>0</v>
      </c>
      <c r="R58" s="10">
        <f>P58-Q58</f>
        <v>0</v>
      </c>
      <c r="S58" s="11" t="str">
        <f>IF(P58=0,"",ROUND((R58/P58),2))</f>
        <v/>
      </c>
      <c r="U58" s="8">
        <v>0</v>
      </c>
      <c r="V58" s="9">
        <v>0</v>
      </c>
      <c r="W58" s="10">
        <f>U58-V58</f>
        <v>0</v>
      </c>
      <c r="X58" s="11" t="str">
        <f>IF(U58=0,"",ROUND((W58/U58),2))</f>
        <v/>
      </c>
      <c r="Z58" s="8">
        <v>0</v>
      </c>
      <c r="AA58" s="9">
        <v>0</v>
      </c>
      <c r="AB58" s="10">
        <f>Z58-AA58</f>
        <v>0</v>
      </c>
      <c r="AC58" s="11" t="str">
        <f>IF(Z58=0,"",ROUND((AB58/Z58),2))</f>
        <v/>
      </c>
      <c r="AE58" s="8">
        <v>0</v>
      </c>
      <c r="AF58" s="9">
        <v>0</v>
      </c>
      <c r="AG58" s="10">
        <f>AE58-AF58</f>
        <v>0</v>
      </c>
      <c r="AH58" s="11" t="str">
        <f>IF(AE58=0,"",ROUND((AG58/AE58),2))</f>
        <v/>
      </c>
      <c r="AJ58" s="8">
        <v>0</v>
      </c>
      <c r="AK58" s="9">
        <v>0</v>
      </c>
      <c r="AL58" s="10">
        <f t="shared" si="2"/>
        <v>0</v>
      </c>
      <c r="AM58" s="11" t="str">
        <f t="shared" si="3"/>
        <v/>
      </c>
    </row>
    <row r="59" spans="1:41" hidden="1" x14ac:dyDescent="0.25">
      <c r="A59" s="5" t="s">
        <v>27</v>
      </c>
      <c r="B59" s="5" t="str">
        <f>IF(AND(Heading=FALSE,BlankZero="Yes",MIN(K59:AP59)=0,MAX(K59:AP59)=0),"Hide","Show")</f>
        <v>Hide</v>
      </c>
      <c r="D59" s="1" t="str">
        <f>"""NAV Direct"",""CRONUS JetCorp USA"",""15"",""1"",""67600"""</f>
        <v>"NAV Direct","CRONUS JetCorp USA","15","1","67600"</v>
      </c>
      <c r="E59" s="1" t="str">
        <f>"End-Total"</f>
        <v>End-Total</v>
      </c>
      <c r="F59" s="1" t="b">
        <f>OR(AccountType="Heading",AccountType="Begin-Total")</f>
        <v>0</v>
      </c>
      <c r="G59" s="1">
        <v>2</v>
      </c>
      <c r="H59" s="1" t="str">
        <f>IF(E59="Posting",_xll.NF(D59,"1 No."),IF(OR(E59="Total",E59="End-Total"),_xll.NF(D59,"34 Totaling"),"0"))</f>
        <v>67000..67600</v>
      </c>
      <c r="I59" s="4" t="str">
        <f>"          Other Operating Exp., Total"</f>
        <v xml:space="preserve">          Other Operating Exp., Total</v>
      </c>
      <c r="J59" s="19"/>
      <c r="K59" s="8">
        <v>0</v>
      </c>
      <c r="L59" s="9">
        <v>0</v>
      </c>
      <c r="M59" s="10">
        <f>K59-L59</f>
        <v>0</v>
      </c>
      <c r="N59" s="11" t="str">
        <f>IF(K59=0,"",ROUND((M59/K59),2))</f>
        <v/>
      </c>
      <c r="P59" s="8">
        <v>0</v>
      </c>
      <c r="Q59" s="9">
        <v>0</v>
      </c>
      <c r="R59" s="10">
        <f>P59-Q59</f>
        <v>0</v>
      </c>
      <c r="S59" s="11" t="str">
        <f>IF(P59=0,"",ROUND((R59/P59),2))</f>
        <v/>
      </c>
      <c r="U59" s="8">
        <v>0</v>
      </c>
      <c r="V59" s="9">
        <v>0</v>
      </c>
      <c r="W59" s="10">
        <f>U59-V59</f>
        <v>0</v>
      </c>
      <c r="X59" s="11" t="str">
        <f>IF(U59=0,"",ROUND((W59/U59),2))</f>
        <v/>
      </c>
      <c r="Z59" s="8">
        <v>0</v>
      </c>
      <c r="AA59" s="9">
        <v>0</v>
      </c>
      <c r="AB59" s="10">
        <f>Z59-AA59</f>
        <v>0</v>
      </c>
      <c r="AC59" s="11" t="str">
        <f>IF(Z59=0,"",ROUND((AB59/Z59),2))</f>
        <v/>
      </c>
      <c r="AE59" s="8">
        <v>0</v>
      </c>
      <c r="AF59" s="9">
        <v>0</v>
      </c>
      <c r="AG59" s="10">
        <f>AE59-AF59</f>
        <v>0</v>
      </c>
      <c r="AH59" s="11" t="str">
        <f>IF(AE59=0,"",ROUND((AG59/AE59),2))</f>
        <v/>
      </c>
      <c r="AJ59" s="8">
        <v>0</v>
      </c>
      <c r="AK59" s="9">
        <v>0</v>
      </c>
      <c r="AL59" s="10">
        <f t="shared" si="2"/>
        <v>0</v>
      </c>
      <c r="AM59" s="11" t="str">
        <f t="shared" si="3"/>
        <v/>
      </c>
    </row>
    <row r="60" spans="1:41" x14ac:dyDescent="0.25">
      <c r="A60" s="5" t="s">
        <v>27</v>
      </c>
      <c r="B60" s="5" t="str">
        <f>IF(AND(Heading=FALSE,BlankZero="Yes",MIN(K60:AP60)=0,MAX(K60:AP60)=0),"Hide","Show")</f>
        <v>Show</v>
      </c>
      <c r="D60" s="1" t="str">
        <f>"""NAV Direct"",""CRONUS JetCorp USA"",""15"",""1"",""69950"""</f>
        <v>"NAV Direct","CRONUS JetCorp USA","15","1","69950"</v>
      </c>
      <c r="E60" s="1" t="str">
        <f>"End-Total"</f>
        <v>End-Total</v>
      </c>
      <c r="F60" s="1" t="b">
        <f>OR(AccountType="Heading",AccountType="Begin-Total")</f>
        <v>0</v>
      </c>
      <c r="G60" s="1">
        <v>1</v>
      </c>
      <c r="H60" s="1" t="str">
        <f>IF(E60="Posting",_xll.NF(D60,"1 No."),IF(OR(E60="Total",E60="End-Total"),_xll.NF(D60,"34 Totaling"),"0"))</f>
        <v>60000..69950</v>
      </c>
      <c r="I60" s="4" t="str">
        <f>"     Total Operating Expenses"</f>
        <v xml:space="preserve">     Total Operating Expenses</v>
      </c>
      <c r="J60" s="19"/>
      <c r="K60" s="8">
        <v>576763.59</v>
      </c>
      <c r="L60" s="9">
        <v>623590.46</v>
      </c>
      <c r="M60" s="10">
        <f>K60-L60</f>
        <v>-46826.869999999995</v>
      </c>
      <c r="N60" s="11">
        <f>IF(K60=0,"",ROUND((M60/K60),2))</f>
        <v>-0.08</v>
      </c>
      <c r="P60" s="8">
        <v>561489.82999999996</v>
      </c>
      <c r="Q60" s="9">
        <v>583622.02</v>
      </c>
      <c r="R60" s="10">
        <f>P60-Q60</f>
        <v>-22132.190000000061</v>
      </c>
      <c r="S60" s="11">
        <f>IF(P60=0,"",ROUND((R60/P60),2))</f>
        <v>-0.04</v>
      </c>
      <c r="U60" s="8">
        <v>585121.31999999995</v>
      </c>
      <c r="V60" s="9">
        <v>567363.53999999992</v>
      </c>
      <c r="W60" s="10">
        <f>U60-V60</f>
        <v>17757.780000000028</v>
      </c>
      <c r="X60" s="11">
        <f>IF(U60=0,"",ROUND((W60/U60),2))</f>
        <v>0.03</v>
      </c>
      <c r="Z60" s="8">
        <v>632601.41</v>
      </c>
      <c r="AA60" s="9">
        <v>626715.90999999992</v>
      </c>
      <c r="AB60" s="10">
        <f>Z60-AA60</f>
        <v>5885.5000000001164</v>
      </c>
      <c r="AC60" s="11">
        <f>IF(Z60=0,"",ROUND((AB60/Z60),2))</f>
        <v>0.01</v>
      </c>
      <c r="AE60" s="8">
        <v>623930.83000000007</v>
      </c>
      <c r="AF60" s="9">
        <v>632307.2699999999</v>
      </c>
      <c r="AG60" s="10">
        <f>AE60-AF60</f>
        <v>-8376.4399999998277</v>
      </c>
      <c r="AH60" s="11">
        <f>IF(AE60=0,"",ROUND((AG60/AE60),2))</f>
        <v>-0.01</v>
      </c>
      <c r="AJ60" s="8">
        <v>690796.20000000007</v>
      </c>
      <c r="AK60" s="9">
        <v>732016.41999999993</v>
      </c>
      <c r="AL60" s="10">
        <f t="shared" si="2"/>
        <v>-41220.219999999856</v>
      </c>
      <c r="AM60" s="11">
        <f t="shared" si="3"/>
        <v>-0.06</v>
      </c>
    </row>
    <row r="61" spans="1:41" x14ac:dyDescent="0.25">
      <c r="A61" s="5" t="s">
        <v>27</v>
      </c>
      <c r="B61" s="5" t="str">
        <f>IF(AND(Heading=FALSE,BlankZero="Yes",MIN(K61:AP61)=0,MAX(K61:AP61)=0),"Hide","Show")</f>
        <v>Show</v>
      </c>
      <c r="D61" s="1" t="str">
        <f>"""NAV Direct"",""CRONUS JetCorp USA"",""15"",""1"",""69999"""</f>
        <v>"NAV Direct","CRONUS JetCorp USA","15","1","69999"</v>
      </c>
      <c r="E61" s="1" t="str">
        <f>"Total"</f>
        <v>Total</v>
      </c>
      <c r="F61" s="1" t="b">
        <f>OR(AccountType="Heading",AccountType="Begin-Total")</f>
        <v>0</v>
      </c>
      <c r="G61" s="1">
        <v>1</v>
      </c>
      <c r="H61" s="1" t="str">
        <f>IF(E61="Posting",_xll.NF(D61,"1 No."),IF(OR(E61="Total",E61="End-Total"),_xll.NF(D61,"34 Totaling"),"0"))</f>
        <v>40000..69999</v>
      </c>
      <c r="I61" s="4" t="str">
        <f>"     Net Operating Income"</f>
        <v xml:space="preserve">     Net Operating Income</v>
      </c>
      <c r="J61" s="19"/>
      <c r="K61" s="8">
        <v>-107547.82</v>
      </c>
      <c r="L61" s="9">
        <v>-137115.46</v>
      </c>
      <c r="M61" s="10">
        <f>K61-L61</f>
        <v>29567.639999999985</v>
      </c>
      <c r="N61" s="11">
        <f>IF(K61=0,"",ROUND((M61/K61),2))</f>
        <v>-0.27</v>
      </c>
      <c r="P61" s="8">
        <v>-41729.729999999996</v>
      </c>
      <c r="Q61" s="9">
        <v>-34074.85</v>
      </c>
      <c r="R61" s="10">
        <f>P61-Q61</f>
        <v>-7654.8799999999974</v>
      </c>
      <c r="S61" s="11">
        <f>IF(P61=0,"",ROUND((R61/P61),2))</f>
        <v>0.18</v>
      </c>
      <c r="U61" s="8">
        <v>-27004.479999999996</v>
      </c>
      <c r="V61" s="9">
        <v>-42309.840000000004</v>
      </c>
      <c r="W61" s="10">
        <f>U61-V61</f>
        <v>15305.360000000008</v>
      </c>
      <c r="X61" s="11">
        <f>IF(U61=0,"",ROUND((W61/U61),2))</f>
        <v>-0.56999999999999995</v>
      </c>
      <c r="Z61" s="8">
        <v>-8644.16</v>
      </c>
      <c r="AA61" s="9">
        <v>-60726.57</v>
      </c>
      <c r="AB61" s="10">
        <f>Z61-AA61</f>
        <v>52082.41</v>
      </c>
      <c r="AC61" s="11">
        <f>IF(Z61=0,"",ROUND((AB61/Z61),2))</f>
        <v>-6.03</v>
      </c>
      <c r="AE61" s="8">
        <v>-25397.84</v>
      </c>
      <c r="AF61" s="9">
        <v>-54404.99</v>
      </c>
      <c r="AG61" s="10">
        <f>AE61-AF61</f>
        <v>29007.149999999998</v>
      </c>
      <c r="AH61" s="11">
        <f>IF(AE61=0,"",ROUND((AG61/AE61),2))</f>
        <v>-1.1399999999999999</v>
      </c>
      <c r="AJ61" s="8">
        <v>-195524.2</v>
      </c>
      <c r="AK61" s="9">
        <v>-53438.81</v>
      </c>
      <c r="AL61" s="10">
        <f t="shared" si="2"/>
        <v>-142085.39000000001</v>
      </c>
      <c r="AM61" s="11">
        <f t="shared" si="3"/>
        <v>0.73</v>
      </c>
    </row>
    <row r="62" spans="1:41" x14ac:dyDescent="0.25">
      <c r="A62" s="5" t="s">
        <v>27</v>
      </c>
      <c r="B62" s="5" t="str">
        <f>IF(AND(Heading=FALSE,BlankZero="Yes",MIN(K62:AP62)=0,MAX(K62:AP62)=0),"Hide","Show")</f>
        <v>Show</v>
      </c>
      <c r="D62" s="1" t="str">
        <f>"""NAV Direct"",""CRONUS JetCorp USA"",""15"",""1"",""70000"""</f>
        <v>"NAV Direct","CRONUS JetCorp USA","15","1","70000"</v>
      </c>
      <c r="E62" s="1" t="str">
        <f>"Begin-Total"</f>
        <v>Begin-Total</v>
      </c>
      <c r="F62" s="1" t="b">
        <f>OR(AccountType="Heading",AccountType="Begin-Total")</f>
        <v>1</v>
      </c>
      <c r="G62" s="1">
        <v>1</v>
      </c>
      <c r="H62" s="1" t="str">
        <f>IF(E62="Posting",_xll.NF(D62,"1 No."),IF(OR(E62="Total",E62="End-Total"),_xll.NF(D62,"34 Totaling"),"0"))</f>
        <v>0</v>
      </c>
      <c r="I62" s="4" t="str">
        <f>"     Interest Income"</f>
        <v xml:space="preserve">     Interest Income</v>
      </c>
      <c r="J62" s="19"/>
      <c r="K62" s="8">
        <v>0</v>
      </c>
      <c r="L62" s="9">
        <v>0</v>
      </c>
      <c r="M62" s="10">
        <f>K62-L62</f>
        <v>0</v>
      </c>
      <c r="N62" s="11" t="str">
        <f>IF(K62=0,"",ROUND((M62/K62),2))</f>
        <v/>
      </c>
      <c r="P62" s="8">
        <v>0</v>
      </c>
      <c r="Q62" s="9">
        <v>0</v>
      </c>
      <c r="R62" s="10">
        <f>P62-Q62</f>
        <v>0</v>
      </c>
      <c r="S62" s="11" t="str">
        <f>IF(P62=0,"",ROUND((R62/P62),2))</f>
        <v/>
      </c>
      <c r="U62" s="8">
        <v>0</v>
      </c>
      <c r="V62" s="9">
        <v>0</v>
      </c>
      <c r="W62" s="10">
        <f>U62-V62</f>
        <v>0</v>
      </c>
      <c r="X62" s="11" t="str">
        <f>IF(U62=0,"",ROUND((W62/U62),2))</f>
        <v/>
      </c>
      <c r="Z62" s="8">
        <v>0</v>
      </c>
      <c r="AA62" s="9">
        <v>0</v>
      </c>
      <c r="AB62" s="10">
        <f>Z62-AA62</f>
        <v>0</v>
      </c>
      <c r="AC62" s="11" t="str">
        <f>IF(Z62=0,"",ROUND((AB62/Z62),2))</f>
        <v/>
      </c>
      <c r="AE62" s="8">
        <v>0</v>
      </c>
      <c r="AF62" s="9">
        <v>0</v>
      </c>
      <c r="AG62" s="10">
        <f>AE62-AF62</f>
        <v>0</v>
      </c>
      <c r="AH62" s="11" t="str">
        <f>IF(AE62=0,"",ROUND((AG62/AE62),2))</f>
        <v/>
      </c>
      <c r="AJ62" s="8">
        <v>0</v>
      </c>
      <c r="AK62" s="9">
        <v>0</v>
      </c>
      <c r="AL62" s="10">
        <f t="shared" si="2"/>
        <v>0</v>
      </c>
      <c r="AM62" s="11" t="str">
        <f t="shared" si="3"/>
        <v/>
      </c>
    </row>
    <row r="63" spans="1:41" x14ac:dyDescent="0.25">
      <c r="O63" s="26"/>
      <c r="T63" s="26"/>
      <c r="Y63" s="26"/>
      <c r="AD63" s="26"/>
      <c r="AI63" s="26"/>
      <c r="AN63" s="26"/>
    </row>
    <row r="64" spans="1:41" x14ac:dyDescent="0.25">
      <c r="AO64" s="26"/>
    </row>
  </sheetData>
  <mergeCells count="7">
    <mergeCell ref="AE10:AH10"/>
    <mergeCell ref="AJ10:AM10"/>
    <mergeCell ref="I2:N2"/>
    <mergeCell ref="K10:N10"/>
    <mergeCell ref="P10:S10"/>
    <mergeCell ref="U10:X10"/>
    <mergeCell ref="Z10:AC10"/>
  </mergeCells>
  <conditionalFormatting sqref="I12 K12:N12">
    <cfRule type="expression" dxfId="3" priority="195">
      <formula>AccountType&lt;&gt;"Posting"</formula>
    </cfRule>
  </conditionalFormatting>
  <conditionalFormatting sqref="P12:S12 U12:X12 Z12:AC12 AE12:AH12 AJ12:AM12">
    <cfRule type="expression" dxfId="2" priority="3">
      <formula>AccountType&lt;&gt;"Posting"</formula>
    </cfRule>
  </conditionalFormatting>
  <conditionalFormatting sqref="I13:I62 K13:N62">
    <cfRule type="expression" dxfId="1" priority="2">
      <formula>AccountType&lt;&gt;"Posting"</formula>
    </cfRule>
  </conditionalFormatting>
  <conditionalFormatting sqref="P13:S62 U13:X62 Z13:AC62 AE13:AH62 AJ13:AM62">
    <cfRule type="expression" dxfId="0" priority="1">
      <formula>AccountType&lt;&gt;"Posting"</formula>
    </cfRule>
  </conditionalFormatting>
  <pageMargins left="0.7" right="0.7" top="0.75" bottom="0.75" header="0.3" footer="0.3"/>
  <pageSetup orientation="landscape"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6" t="s">
        <v>1120</v>
      </c>
      <c r="B1" s="6" t="s">
        <v>0</v>
      </c>
      <c r="C1" s="6" t="s">
        <v>1</v>
      </c>
      <c r="D1" s="6" t="s">
        <v>2</v>
      </c>
      <c r="E1" s="6" t="s">
        <v>676</v>
      </c>
    </row>
    <row r="3" spans="1:6" x14ac:dyDescent="0.25">
      <c r="A3" s="6" t="s">
        <v>3</v>
      </c>
      <c r="B3" s="6" t="s">
        <v>4</v>
      </c>
      <c r="C3" s="6" t="s">
        <v>1062</v>
      </c>
      <c r="E3" s="6" t="s">
        <v>677</v>
      </c>
      <c r="F3" s="6" t="s">
        <v>22</v>
      </c>
    </row>
    <row r="4" spans="1:6" x14ac:dyDescent="0.25">
      <c r="A4" s="6" t="s">
        <v>3</v>
      </c>
      <c r="B4" s="6" t="s">
        <v>5</v>
      </c>
      <c r="C4" s="6" t="s">
        <v>1063</v>
      </c>
      <c r="E4" s="6" t="s">
        <v>677</v>
      </c>
    </row>
    <row r="5" spans="1:6" x14ac:dyDescent="0.25">
      <c r="A5" s="6" t="s">
        <v>3</v>
      </c>
      <c r="B5" s="6" t="s">
        <v>6</v>
      </c>
      <c r="C5" s="6" t="s">
        <v>50</v>
      </c>
      <c r="D5" s="6" t="s">
        <v>33</v>
      </c>
    </row>
    <row r="6" spans="1:6" x14ac:dyDescent="0.25">
      <c r="A6" s="6" t="s">
        <v>3</v>
      </c>
      <c r="B6" s="6" t="s">
        <v>11</v>
      </c>
      <c r="C6" s="6" t="s">
        <v>1064</v>
      </c>
      <c r="D6" s="6" t="s">
        <v>34</v>
      </c>
    </row>
    <row r="7" spans="1:6" x14ac:dyDescent="0.25">
      <c r="A7" s="6" t="s">
        <v>3</v>
      </c>
      <c r="B7" s="6" t="s">
        <v>20</v>
      </c>
      <c r="C7" s="6" t="s">
        <v>21</v>
      </c>
      <c r="D7" s="6" t="s">
        <v>23</v>
      </c>
    </row>
    <row r="8" spans="1:6" x14ac:dyDescent="0.25">
      <c r="A8" s="6" t="s">
        <v>3</v>
      </c>
      <c r="B8" s="6" t="s">
        <v>32</v>
      </c>
      <c r="C8" s="6" t="s">
        <v>49</v>
      </c>
      <c r="D8" s="6"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6" t="s">
        <v>1120</v>
      </c>
      <c r="B1" s="6" t="s">
        <v>0</v>
      </c>
      <c r="C1" s="6" t="s">
        <v>1</v>
      </c>
      <c r="D1" s="6" t="s">
        <v>2</v>
      </c>
      <c r="E1" s="6" t="s">
        <v>676</v>
      </c>
    </row>
    <row r="3" spans="1:6" x14ac:dyDescent="0.25">
      <c r="A3" s="6" t="s">
        <v>3</v>
      </c>
      <c r="B3" s="6" t="s">
        <v>4</v>
      </c>
      <c r="C3" s="6" t="s">
        <v>1062</v>
      </c>
      <c r="E3" s="6" t="s">
        <v>677</v>
      </c>
      <c r="F3" s="6" t="s">
        <v>22</v>
      </c>
    </row>
    <row r="4" spans="1:6" x14ac:dyDescent="0.25">
      <c r="A4" s="6" t="s">
        <v>3</v>
      </c>
      <c r="B4" s="6" t="s">
        <v>5</v>
      </c>
      <c r="C4" s="6" t="s">
        <v>1063</v>
      </c>
      <c r="E4" s="6" t="s">
        <v>677</v>
      </c>
    </row>
    <row r="5" spans="1:6" x14ac:dyDescent="0.25">
      <c r="A5" s="6" t="s">
        <v>3</v>
      </c>
      <c r="B5" s="6" t="s">
        <v>6</v>
      </c>
      <c r="C5" s="6" t="s">
        <v>50</v>
      </c>
      <c r="D5" s="6" t="s">
        <v>33</v>
      </c>
    </row>
    <row r="6" spans="1:6" x14ac:dyDescent="0.25">
      <c r="A6" s="6" t="s">
        <v>3</v>
      </c>
      <c r="B6" s="6" t="s">
        <v>11</v>
      </c>
      <c r="C6" s="6" t="s">
        <v>1064</v>
      </c>
      <c r="D6" s="6" t="s">
        <v>34</v>
      </c>
    </row>
    <row r="7" spans="1:6" x14ac:dyDescent="0.25">
      <c r="A7" s="6" t="s">
        <v>3</v>
      </c>
      <c r="B7" s="6" t="s">
        <v>20</v>
      </c>
      <c r="C7" s="6" t="s">
        <v>21</v>
      </c>
      <c r="D7" s="6" t="s">
        <v>23</v>
      </c>
    </row>
    <row r="8" spans="1:6" x14ac:dyDescent="0.25">
      <c r="A8" s="6" t="s">
        <v>3</v>
      </c>
      <c r="B8" s="6" t="s">
        <v>32</v>
      </c>
      <c r="C8" s="6" t="s">
        <v>49</v>
      </c>
      <c r="D8" s="6" t="s">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x14ac:dyDescent="0.25"/>
  <sheetData>
    <row r="1" spans="1:14" x14ac:dyDescent="0.25">
      <c r="A1" s="6" t="s">
        <v>1121</v>
      </c>
      <c r="B1" s="6" t="s">
        <v>16</v>
      </c>
      <c r="D1" s="6" t="s">
        <v>14</v>
      </c>
      <c r="E1" s="6" t="s">
        <v>14</v>
      </c>
      <c r="F1" s="6" t="s">
        <v>14</v>
      </c>
      <c r="G1" s="6" t="s">
        <v>14</v>
      </c>
      <c r="H1" s="6" t="s">
        <v>14</v>
      </c>
      <c r="I1" s="6" t="s">
        <v>15</v>
      </c>
      <c r="K1" s="6" t="s">
        <v>15</v>
      </c>
      <c r="L1" s="6" t="s">
        <v>15</v>
      </c>
      <c r="M1" s="6" t="s">
        <v>15</v>
      </c>
      <c r="N1" s="6" t="s">
        <v>15</v>
      </c>
    </row>
    <row r="2" spans="1:14" x14ac:dyDescent="0.25">
      <c r="I2" s="6" t="s">
        <v>18</v>
      </c>
    </row>
    <row r="3" spans="1:14" x14ac:dyDescent="0.25">
      <c r="I3" s="6" t="s">
        <v>36</v>
      </c>
    </row>
    <row r="4" spans="1:14" x14ac:dyDescent="0.25">
      <c r="I4" s="6" t="s">
        <v>38</v>
      </c>
      <c r="J4" s="6" t="s">
        <v>39</v>
      </c>
    </row>
    <row r="5" spans="1:14" x14ac:dyDescent="0.25">
      <c r="I5" s="6" t="s">
        <v>28</v>
      </c>
      <c r="J5" s="6" t="s">
        <v>22</v>
      </c>
    </row>
    <row r="6" spans="1:14" x14ac:dyDescent="0.25">
      <c r="I6" s="6" t="s">
        <v>29</v>
      </c>
      <c r="J6" s="6" t="s">
        <v>30</v>
      </c>
    </row>
    <row r="8" spans="1:14" x14ac:dyDescent="0.25">
      <c r="A8" s="6" t="s">
        <v>14</v>
      </c>
      <c r="K8" s="6" t="s">
        <v>24</v>
      </c>
      <c r="L8" s="6" t="s">
        <v>51</v>
      </c>
    </row>
    <row r="9" spans="1:14" x14ac:dyDescent="0.25">
      <c r="A9" s="6" t="s">
        <v>14</v>
      </c>
      <c r="K9" s="6" t="s">
        <v>52</v>
      </c>
      <c r="L9" s="6" t="s">
        <v>53</v>
      </c>
    </row>
    <row r="10" spans="1:14" x14ac:dyDescent="0.25">
      <c r="J10" s="6" t="s">
        <v>31</v>
      </c>
      <c r="K10" s="6" t="s">
        <v>51</v>
      </c>
    </row>
    <row r="11" spans="1:14" x14ac:dyDescent="0.25">
      <c r="E11" s="6" t="s">
        <v>7</v>
      </c>
      <c r="F11" s="6" t="s">
        <v>17</v>
      </c>
      <c r="G11" s="6" t="s">
        <v>8</v>
      </c>
      <c r="H11" s="6" t="s">
        <v>48</v>
      </c>
      <c r="I11" s="6" t="s">
        <v>9</v>
      </c>
      <c r="K11" s="6" t="s">
        <v>10</v>
      </c>
      <c r="L11" s="6" t="s">
        <v>19</v>
      </c>
      <c r="M11" s="6" t="s">
        <v>12</v>
      </c>
      <c r="N11" s="6" t="s">
        <v>13</v>
      </c>
    </row>
    <row r="12" spans="1:14" x14ac:dyDescent="0.25">
      <c r="B12" s="6" t="s">
        <v>54</v>
      </c>
      <c r="D12" s="6" t="s">
        <v>37</v>
      </c>
      <c r="E12" s="6" t="s">
        <v>55</v>
      </c>
      <c r="F12" s="6" t="s">
        <v>25</v>
      </c>
      <c r="G12" s="6" t="s">
        <v>56</v>
      </c>
      <c r="H12" s="6" t="s">
        <v>57</v>
      </c>
      <c r="I12" s="6" t="s">
        <v>58</v>
      </c>
      <c r="K12" s="6" t="s">
        <v>59</v>
      </c>
      <c r="L12" s="6" t="s">
        <v>60</v>
      </c>
      <c r="M12" s="6" t="s">
        <v>61</v>
      </c>
      <c r="N12" s="6"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x14ac:dyDescent="0.25"/>
  <sheetData>
    <row r="1" spans="1:14" x14ac:dyDescent="0.25">
      <c r="A1" s="6" t="s">
        <v>1121</v>
      </c>
      <c r="B1" s="6" t="s">
        <v>16</v>
      </c>
      <c r="D1" s="6" t="s">
        <v>14</v>
      </c>
      <c r="E1" s="6" t="s">
        <v>14</v>
      </c>
      <c r="F1" s="6" t="s">
        <v>14</v>
      </c>
      <c r="G1" s="6" t="s">
        <v>14</v>
      </c>
      <c r="H1" s="6" t="s">
        <v>14</v>
      </c>
      <c r="I1" s="6" t="s">
        <v>15</v>
      </c>
      <c r="K1" s="6" t="s">
        <v>15</v>
      </c>
      <c r="L1" s="6" t="s">
        <v>15</v>
      </c>
      <c r="M1" s="6" t="s">
        <v>15</v>
      </c>
      <c r="N1" s="6" t="s">
        <v>15</v>
      </c>
    </row>
    <row r="2" spans="1:14" x14ac:dyDescent="0.25">
      <c r="I2" s="6" t="s">
        <v>18</v>
      </c>
    </row>
    <row r="3" spans="1:14" x14ac:dyDescent="0.25">
      <c r="I3" s="6" t="s">
        <v>1061</v>
      </c>
    </row>
    <row r="4" spans="1:14" x14ac:dyDescent="0.25">
      <c r="I4" s="6" t="s">
        <v>38</v>
      </c>
      <c r="J4" s="6" t="s">
        <v>39</v>
      </c>
    </row>
    <row r="5" spans="1:14" x14ac:dyDescent="0.25">
      <c r="I5" s="6" t="s">
        <v>28</v>
      </c>
      <c r="J5" s="6" t="s">
        <v>22</v>
      </c>
    </row>
    <row r="6" spans="1:14" x14ac:dyDescent="0.25">
      <c r="I6" s="6" t="s">
        <v>29</v>
      </c>
      <c r="J6" s="6" t="s">
        <v>30</v>
      </c>
    </row>
    <row r="8" spans="1:14" x14ac:dyDescent="0.25">
      <c r="A8" s="6" t="s">
        <v>14</v>
      </c>
      <c r="K8" s="6" t="s">
        <v>24</v>
      </c>
      <c r="L8" s="6" t="s">
        <v>51</v>
      </c>
    </row>
    <row r="9" spans="1:14" x14ac:dyDescent="0.25">
      <c r="A9" s="6" t="s">
        <v>14</v>
      </c>
      <c r="K9" s="6" t="s">
        <v>52</v>
      </c>
      <c r="L9" s="6" t="s">
        <v>53</v>
      </c>
    </row>
    <row r="10" spans="1:14" x14ac:dyDescent="0.25">
      <c r="J10" s="6" t="s">
        <v>31</v>
      </c>
      <c r="K10" s="6" t="s">
        <v>51</v>
      </c>
    </row>
    <row r="11" spans="1:14" x14ac:dyDescent="0.25">
      <c r="E11" s="6" t="s">
        <v>7</v>
      </c>
      <c r="F11" s="6" t="s">
        <v>17</v>
      </c>
      <c r="G11" s="6" t="s">
        <v>8</v>
      </c>
      <c r="H11" s="6" t="s">
        <v>48</v>
      </c>
      <c r="I11" s="6" t="s">
        <v>9</v>
      </c>
      <c r="K11" s="6" t="s">
        <v>10</v>
      </c>
      <c r="L11" s="6" t="s">
        <v>19</v>
      </c>
      <c r="M11" s="6" t="s">
        <v>12</v>
      </c>
      <c r="N11" s="6" t="s">
        <v>13</v>
      </c>
    </row>
    <row r="12" spans="1:14" x14ac:dyDescent="0.25">
      <c r="B12" s="6" t="s">
        <v>54</v>
      </c>
      <c r="D12" s="6" t="s">
        <v>37</v>
      </c>
      <c r="E12" s="6" t="s">
        <v>55</v>
      </c>
      <c r="F12" s="6" t="s">
        <v>25</v>
      </c>
      <c r="G12" s="6" t="s">
        <v>56</v>
      </c>
      <c r="H12" s="6" t="s">
        <v>57</v>
      </c>
      <c r="I12" s="6" t="s">
        <v>58</v>
      </c>
      <c r="K12" s="6" t="s">
        <v>59</v>
      </c>
      <c r="L12" s="6" t="s">
        <v>60</v>
      </c>
      <c r="M12" s="6" t="s">
        <v>61</v>
      </c>
      <c r="N12" s="6"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6" t="s">
        <v>1123</v>
      </c>
      <c r="B1" s="6" t="s">
        <v>0</v>
      </c>
      <c r="C1" s="6" t="s">
        <v>1</v>
      </c>
      <c r="D1" s="6" t="s">
        <v>2</v>
      </c>
      <c r="E1" s="6" t="s">
        <v>676</v>
      </c>
    </row>
    <row r="3" spans="1:6" x14ac:dyDescent="0.25">
      <c r="A3" s="6" t="s">
        <v>3</v>
      </c>
      <c r="B3" s="6" t="s">
        <v>4</v>
      </c>
      <c r="C3" s="6" t="s">
        <v>1062</v>
      </c>
      <c r="E3" s="6" t="s">
        <v>677</v>
      </c>
      <c r="F3" s="6" t="s">
        <v>22</v>
      </c>
    </row>
    <row r="4" spans="1:6" x14ac:dyDescent="0.25">
      <c r="A4" s="6" t="s">
        <v>3</v>
      </c>
      <c r="B4" s="6" t="s">
        <v>5</v>
      </c>
      <c r="C4" s="6" t="s">
        <v>1063</v>
      </c>
      <c r="E4" s="6" t="s">
        <v>677</v>
      </c>
    </row>
    <row r="5" spans="1:6" x14ac:dyDescent="0.25">
      <c r="A5" s="6" t="s">
        <v>3</v>
      </c>
      <c r="B5" s="6" t="s">
        <v>6</v>
      </c>
      <c r="C5" s="6" t="s">
        <v>50</v>
      </c>
      <c r="D5" s="6" t="s">
        <v>33</v>
      </c>
    </row>
    <row r="6" spans="1:6" x14ac:dyDescent="0.25">
      <c r="A6" s="6" t="s">
        <v>3</v>
      </c>
      <c r="B6" s="6" t="s">
        <v>11</v>
      </c>
      <c r="C6" s="6" t="s">
        <v>1064</v>
      </c>
      <c r="D6" s="6" t="s">
        <v>34</v>
      </c>
    </row>
    <row r="7" spans="1:6" x14ac:dyDescent="0.25">
      <c r="A7" s="6" t="s">
        <v>3</v>
      </c>
      <c r="B7" s="6" t="s">
        <v>20</v>
      </c>
      <c r="C7" s="6" t="s">
        <v>21</v>
      </c>
      <c r="D7" s="6" t="s">
        <v>23</v>
      </c>
    </row>
    <row r="8" spans="1:6" x14ac:dyDescent="0.25">
      <c r="A8" s="6" t="s">
        <v>3</v>
      </c>
      <c r="B8" s="6" t="s">
        <v>32</v>
      </c>
      <c r="C8" s="6" t="s">
        <v>49</v>
      </c>
      <c r="D8" s="6" t="s">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workbookViewId="0"/>
  </sheetViews>
  <sheetFormatPr defaultRowHeight="15" x14ac:dyDescent="0.25"/>
  <sheetData>
    <row r="1" spans="1:40" x14ac:dyDescent="0.25">
      <c r="A1" s="6" t="s">
        <v>1125</v>
      </c>
      <c r="B1" s="6" t="s">
        <v>16</v>
      </c>
      <c r="D1" s="6" t="s">
        <v>14</v>
      </c>
      <c r="E1" s="6" t="s">
        <v>14</v>
      </c>
      <c r="F1" s="6" t="s">
        <v>14</v>
      </c>
      <c r="G1" s="6" t="s">
        <v>14</v>
      </c>
      <c r="H1" s="6" t="s">
        <v>14</v>
      </c>
      <c r="I1" s="6" t="s">
        <v>15</v>
      </c>
      <c r="K1" s="6" t="s">
        <v>15</v>
      </c>
      <c r="L1" s="6" t="s">
        <v>15</v>
      </c>
      <c r="M1" s="6" t="s">
        <v>15</v>
      </c>
      <c r="N1" s="6" t="s">
        <v>15</v>
      </c>
      <c r="P1" s="6" t="s">
        <v>26</v>
      </c>
      <c r="Q1" s="6" t="s">
        <v>26</v>
      </c>
      <c r="R1" s="6" t="s">
        <v>26</v>
      </c>
      <c r="S1" s="6" t="s">
        <v>26</v>
      </c>
      <c r="T1" s="6" t="s">
        <v>27</v>
      </c>
      <c r="U1" s="6" t="s">
        <v>26</v>
      </c>
      <c r="V1" s="6" t="s">
        <v>26</v>
      </c>
      <c r="W1" s="6" t="s">
        <v>26</v>
      </c>
      <c r="X1" s="6" t="s">
        <v>26</v>
      </c>
      <c r="Y1" s="6" t="s">
        <v>27</v>
      </c>
      <c r="Z1" s="6" t="s">
        <v>26</v>
      </c>
      <c r="AA1" s="6" t="s">
        <v>26</v>
      </c>
      <c r="AB1" s="6" t="s">
        <v>26</v>
      </c>
      <c r="AC1" s="6" t="s">
        <v>26</v>
      </c>
      <c r="AD1" s="6" t="s">
        <v>27</v>
      </c>
      <c r="AE1" s="6" t="s">
        <v>26</v>
      </c>
      <c r="AF1" s="6" t="s">
        <v>26</v>
      </c>
      <c r="AG1" s="6" t="s">
        <v>26</v>
      </c>
      <c r="AH1" s="6" t="s">
        <v>26</v>
      </c>
      <c r="AI1" s="6" t="s">
        <v>27</v>
      </c>
      <c r="AJ1" s="6" t="s">
        <v>26</v>
      </c>
      <c r="AK1" s="6" t="s">
        <v>26</v>
      </c>
      <c r="AL1" s="6" t="s">
        <v>26</v>
      </c>
      <c r="AM1" s="6" t="s">
        <v>26</v>
      </c>
      <c r="AN1" s="6" t="s">
        <v>27</v>
      </c>
    </row>
    <row r="2" spans="1:40" x14ac:dyDescent="0.25">
      <c r="I2" s="6" t="s">
        <v>18</v>
      </c>
    </row>
    <row r="3" spans="1:40" x14ac:dyDescent="0.25">
      <c r="I3" s="6" t="s">
        <v>36</v>
      </c>
    </row>
    <row r="4" spans="1:40" x14ac:dyDescent="0.25">
      <c r="I4" s="6" t="s">
        <v>38</v>
      </c>
      <c r="J4" s="6" t="s">
        <v>39</v>
      </c>
    </row>
    <row r="5" spans="1:40" x14ac:dyDescent="0.25">
      <c r="I5" s="6" t="s">
        <v>28</v>
      </c>
      <c r="J5" s="6" t="s">
        <v>22</v>
      </c>
    </row>
    <row r="6" spans="1:40" x14ac:dyDescent="0.25">
      <c r="I6" s="6" t="s">
        <v>29</v>
      </c>
      <c r="J6" s="6" t="s">
        <v>30</v>
      </c>
    </row>
    <row r="8" spans="1:40" x14ac:dyDescent="0.25">
      <c r="A8" s="6" t="s">
        <v>14</v>
      </c>
      <c r="K8" s="6" t="s">
        <v>24</v>
      </c>
      <c r="L8" s="6" t="s">
        <v>51</v>
      </c>
      <c r="P8" s="6" t="s">
        <v>1065</v>
      </c>
      <c r="Q8" s="6" t="s">
        <v>63</v>
      </c>
      <c r="U8" s="6" t="s">
        <v>1066</v>
      </c>
      <c r="V8" s="6" t="s">
        <v>64</v>
      </c>
      <c r="Z8" s="6" t="s">
        <v>1067</v>
      </c>
      <c r="AA8" s="6" t="s">
        <v>678</v>
      </c>
      <c r="AE8" s="6" t="s">
        <v>1068</v>
      </c>
      <c r="AF8" s="6" t="s">
        <v>679</v>
      </c>
      <c r="AJ8" s="6" t="s">
        <v>1069</v>
      </c>
      <c r="AK8" s="6" t="s">
        <v>680</v>
      </c>
    </row>
    <row r="9" spans="1:40" x14ac:dyDescent="0.25">
      <c r="A9" s="6" t="s">
        <v>14</v>
      </c>
      <c r="K9" s="6" t="s">
        <v>52</v>
      </c>
      <c r="L9" s="6" t="s">
        <v>53</v>
      </c>
      <c r="P9" s="6" t="s">
        <v>65</v>
      </c>
      <c r="Q9" s="6" t="s">
        <v>66</v>
      </c>
      <c r="U9" s="6" t="s">
        <v>67</v>
      </c>
      <c r="V9" s="6" t="s">
        <v>68</v>
      </c>
      <c r="Z9" s="6" t="s">
        <v>681</v>
      </c>
      <c r="AA9" s="6" t="s">
        <v>682</v>
      </c>
      <c r="AE9" s="6" t="s">
        <v>683</v>
      </c>
      <c r="AF9" s="6" t="s">
        <v>684</v>
      </c>
      <c r="AJ9" s="6" t="s">
        <v>685</v>
      </c>
      <c r="AK9" s="6" t="s">
        <v>686</v>
      </c>
    </row>
    <row r="10" spans="1:40" x14ac:dyDescent="0.25">
      <c r="J10" s="6" t="s">
        <v>31</v>
      </c>
      <c r="K10" s="6" t="s">
        <v>51</v>
      </c>
      <c r="P10" s="6" t="s">
        <v>63</v>
      </c>
      <c r="U10" s="6" t="s">
        <v>64</v>
      </c>
      <c r="Z10" s="6" t="s">
        <v>678</v>
      </c>
      <c r="AE10" s="6" t="s">
        <v>679</v>
      </c>
      <c r="AJ10" s="6" t="s">
        <v>680</v>
      </c>
    </row>
    <row r="11" spans="1:40" x14ac:dyDescent="0.25">
      <c r="E11" s="6" t="s">
        <v>7</v>
      </c>
      <c r="F11" s="6" t="s">
        <v>17</v>
      </c>
      <c r="G11" s="6" t="s">
        <v>8</v>
      </c>
      <c r="H11" s="6" t="s">
        <v>48</v>
      </c>
      <c r="I11" s="6" t="s">
        <v>9</v>
      </c>
      <c r="K11" s="6" t="s">
        <v>10</v>
      </c>
      <c r="L11" s="6" t="s">
        <v>19</v>
      </c>
      <c r="M11" s="6" t="s">
        <v>12</v>
      </c>
      <c r="N11" s="6" t="s">
        <v>13</v>
      </c>
      <c r="P11" s="6" t="s">
        <v>10</v>
      </c>
      <c r="Q11" s="6" t="s">
        <v>19</v>
      </c>
      <c r="R11" s="6" t="s">
        <v>12</v>
      </c>
      <c r="S11" s="6" t="s">
        <v>13</v>
      </c>
      <c r="U11" s="6" t="s">
        <v>10</v>
      </c>
      <c r="V11" s="6" t="s">
        <v>19</v>
      </c>
      <c r="W11" s="6" t="s">
        <v>12</v>
      </c>
      <c r="X11" s="6" t="s">
        <v>13</v>
      </c>
      <c r="Z11" s="6" t="s">
        <v>10</v>
      </c>
      <c r="AA11" s="6" t="s">
        <v>19</v>
      </c>
      <c r="AB11" s="6" t="s">
        <v>12</v>
      </c>
      <c r="AC11" s="6" t="s">
        <v>13</v>
      </c>
      <c r="AE11" s="6" t="s">
        <v>10</v>
      </c>
      <c r="AF11" s="6" t="s">
        <v>19</v>
      </c>
      <c r="AG11" s="6" t="s">
        <v>12</v>
      </c>
      <c r="AH11" s="6" t="s">
        <v>13</v>
      </c>
      <c r="AJ11" s="6" t="s">
        <v>10</v>
      </c>
      <c r="AK11" s="6" t="s">
        <v>19</v>
      </c>
      <c r="AL11" s="6" t="s">
        <v>12</v>
      </c>
      <c r="AM11" s="6" t="s">
        <v>13</v>
      </c>
    </row>
    <row r="12" spans="1:40" x14ac:dyDescent="0.25">
      <c r="B12" s="6" t="s">
        <v>687</v>
      </c>
      <c r="D12" s="6" t="s">
        <v>37</v>
      </c>
      <c r="E12" s="6" t="s">
        <v>55</v>
      </c>
      <c r="F12" s="6" t="s">
        <v>25</v>
      </c>
      <c r="G12" s="6" t="s">
        <v>56</v>
      </c>
      <c r="H12" s="6" t="s">
        <v>57</v>
      </c>
      <c r="I12" s="6" t="s">
        <v>58</v>
      </c>
      <c r="K12" s="6" t="s">
        <v>59</v>
      </c>
      <c r="L12" s="6" t="s">
        <v>60</v>
      </c>
      <c r="M12" s="6" t="s">
        <v>61</v>
      </c>
      <c r="N12" s="6" t="s">
        <v>62</v>
      </c>
      <c r="P12" s="6" t="s">
        <v>59</v>
      </c>
      <c r="Q12" s="6" t="s">
        <v>60</v>
      </c>
      <c r="R12" s="6" t="s">
        <v>69</v>
      </c>
      <c r="S12" s="6" t="s">
        <v>70</v>
      </c>
      <c r="U12" s="6" t="s">
        <v>59</v>
      </c>
      <c r="V12" s="6" t="s">
        <v>60</v>
      </c>
      <c r="W12" s="6" t="s">
        <v>71</v>
      </c>
      <c r="X12" s="6" t="s">
        <v>72</v>
      </c>
      <c r="Z12" s="6" t="s">
        <v>59</v>
      </c>
      <c r="AA12" s="6" t="s">
        <v>60</v>
      </c>
      <c r="AB12" s="6" t="s">
        <v>688</v>
      </c>
      <c r="AC12" s="6" t="s">
        <v>689</v>
      </c>
      <c r="AE12" s="6" t="s">
        <v>59</v>
      </c>
      <c r="AF12" s="6" t="s">
        <v>60</v>
      </c>
      <c r="AG12" s="6" t="s">
        <v>690</v>
      </c>
      <c r="AH12" s="6" t="s">
        <v>691</v>
      </c>
      <c r="AJ12" s="6" t="s">
        <v>59</v>
      </c>
      <c r="AK12" s="6" t="s">
        <v>60</v>
      </c>
      <c r="AL12" s="6" t="s">
        <v>692</v>
      </c>
      <c r="AM12" s="6" t="s">
        <v>693</v>
      </c>
    </row>
    <row r="13" spans="1:40" x14ac:dyDescent="0.25">
      <c r="A13" s="6" t="s">
        <v>27</v>
      </c>
      <c r="B13" s="6" t="s">
        <v>694</v>
      </c>
      <c r="D13" s="6" t="s">
        <v>1070</v>
      </c>
      <c r="E13" s="6" t="s">
        <v>573</v>
      </c>
      <c r="F13" s="6" t="s">
        <v>25</v>
      </c>
      <c r="G13" s="6" t="s">
        <v>574</v>
      </c>
      <c r="H13" s="6" t="s">
        <v>73</v>
      </c>
      <c r="I13" s="6" t="s">
        <v>74</v>
      </c>
      <c r="K13" s="6" t="s">
        <v>75</v>
      </c>
      <c r="L13" s="6" t="s">
        <v>76</v>
      </c>
      <c r="M13" s="6" t="s">
        <v>77</v>
      </c>
      <c r="N13" s="6" t="s">
        <v>78</v>
      </c>
      <c r="P13" s="6" t="s">
        <v>75</v>
      </c>
      <c r="Q13" s="6" t="s">
        <v>76</v>
      </c>
      <c r="R13" s="6" t="s">
        <v>79</v>
      </c>
      <c r="S13" s="6" t="s">
        <v>80</v>
      </c>
      <c r="U13" s="6" t="s">
        <v>75</v>
      </c>
      <c r="V13" s="6" t="s">
        <v>76</v>
      </c>
      <c r="W13" s="6" t="s">
        <v>81</v>
      </c>
      <c r="X13" s="6" t="s">
        <v>82</v>
      </c>
      <c r="Z13" s="6" t="s">
        <v>75</v>
      </c>
      <c r="AA13" s="6" t="s">
        <v>76</v>
      </c>
      <c r="AB13" s="6" t="s">
        <v>695</v>
      </c>
      <c r="AC13" s="6" t="s">
        <v>696</v>
      </c>
      <c r="AE13" s="6" t="s">
        <v>75</v>
      </c>
      <c r="AF13" s="6" t="s">
        <v>76</v>
      </c>
      <c r="AG13" s="6" t="s">
        <v>697</v>
      </c>
      <c r="AH13" s="6" t="s">
        <v>698</v>
      </c>
      <c r="AJ13" s="6" t="s">
        <v>75</v>
      </c>
      <c r="AK13" s="6" t="s">
        <v>76</v>
      </c>
      <c r="AL13" s="6" t="s">
        <v>699</v>
      </c>
      <c r="AM13" s="6" t="s">
        <v>700</v>
      </c>
    </row>
    <row r="14" spans="1:40" x14ac:dyDescent="0.25">
      <c r="A14" s="6" t="s">
        <v>27</v>
      </c>
      <c r="B14" s="6" t="s">
        <v>701</v>
      </c>
      <c r="D14" s="6" t="s">
        <v>1071</v>
      </c>
      <c r="E14" s="6" t="s">
        <v>575</v>
      </c>
      <c r="F14" s="6" t="s">
        <v>25</v>
      </c>
      <c r="G14" s="6" t="s">
        <v>576</v>
      </c>
      <c r="H14" s="6" t="s">
        <v>83</v>
      </c>
      <c r="I14" s="6" t="s">
        <v>84</v>
      </c>
      <c r="K14" s="6" t="s">
        <v>85</v>
      </c>
      <c r="L14" s="6" t="s">
        <v>86</v>
      </c>
      <c r="M14" s="6" t="s">
        <v>87</v>
      </c>
      <c r="N14" s="6" t="s">
        <v>88</v>
      </c>
      <c r="P14" s="6" t="s">
        <v>85</v>
      </c>
      <c r="Q14" s="6" t="s">
        <v>86</v>
      </c>
      <c r="R14" s="6" t="s">
        <v>89</v>
      </c>
      <c r="S14" s="6" t="s">
        <v>90</v>
      </c>
      <c r="U14" s="6" t="s">
        <v>85</v>
      </c>
      <c r="V14" s="6" t="s">
        <v>86</v>
      </c>
      <c r="W14" s="6" t="s">
        <v>91</v>
      </c>
      <c r="X14" s="6" t="s">
        <v>92</v>
      </c>
      <c r="Z14" s="6" t="s">
        <v>85</v>
      </c>
      <c r="AA14" s="6" t="s">
        <v>86</v>
      </c>
      <c r="AB14" s="6" t="s">
        <v>702</v>
      </c>
      <c r="AC14" s="6" t="s">
        <v>703</v>
      </c>
      <c r="AE14" s="6" t="s">
        <v>85</v>
      </c>
      <c r="AF14" s="6" t="s">
        <v>86</v>
      </c>
      <c r="AG14" s="6" t="s">
        <v>704</v>
      </c>
      <c r="AH14" s="6" t="s">
        <v>705</v>
      </c>
      <c r="AJ14" s="6" t="s">
        <v>85</v>
      </c>
      <c r="AK14" s="6" t="s">
        <v>86</v>
      </c>
      <c r="AL14" s="6" t="s">
        <v>706</v>
      </c>
      <c r="AM14" s="6" t="s">
        <v>707</v>
      </c>
    </row>
    <row r="15" spans="1:40" x14ac:dyDescent="0.25">
      <c r="A15" s="6" t="s">
        <v>27</v>
      </c>
      <c r="B15" s="6" t="s">
        <v>708</v>
      </c>
      <c r="D15" s="6" t="s">
        <v>1072</v>
      </c>
      <c r="E15" s="6" t="s">
        <v>577</v>
      </c>
      <c r="F15" s="6" t="s">
        <v>25</v>
      </c>
      <c r="G15" s="6" t="s">
        <v>578</v>
      </c>
      <c r="H15" s="6" t="s">
        <v>93</v>
      </c>
      <c r="I15" s="6" t="s">
        <v>94</v>
      </c>
      <c r="K15" s="6" t="s">
        <v>95</v>
      </c>
      <c r="L15" s="6" t="s">
        <v>96</v>
      </c>
      <c r="M15" s="6" t="s">
        <v>97</v>
      </c>
      <c r="N15" s="6" t="s">
        <v>98</v>
      </c>
      <c r="P15" s="6" t="s">
        <v>95</v>
      </c>
      <c r="Q15" s="6" t="s">
        <v>96</v>
      </c>
      <c r="R15" s="6" t="s">
        <v>99</v>
      </c>
      <c r="S15" s="6" t="s">
        <v>100</v>
      </c>
      <c r="U15" s="6" t="s">
        <v>95</v>
      </c>
      <c r="V15" s="6" t="s">
        <v>96</v>
      </c>
      <c r="W15" s="6" t="s">
        <v>101</v>
      </c>
      <c r="X15" s="6" t="s">
        <v>102</v>
      </c>
      <c r="Z15" s="6" t="s">
        <v>95</v>
      </c>
      <c r="AA15" s="6" t="s">
        <v>96</v>
      </c>
      <c r="AB15" s="6" t="s">
        <v>709</v>
      </c>
      <c r="AC15" s="6" t="s">
        <v>710</v>
      </c>
      <c r="AE15" s="6" t="s">
        <v>95</v>
      </c>
      <c r="AF15" s="6" t="s">
        <v>96</v>
      </c>
      <c r="AG15" s="6" t="s">
        <v>711</v>
      </c>
      <c r="AH15" s="6" t="s">
        <v>712</v>
      </c>
      <c r="AJ15" s="6" t="s">
        <v>95</v>
      </c>
      <c r="AK15" s="6" t="s">
        <v>96</v>
      </c>
      <c r="AL15" s="6" t="s">
        <v>713</v>
      </c>
      <c r="AM15" s="6" t="s">
        <v>714</v>
      </c>
    </row>
    <row r="16" spans="1:40" x14ac:dyDescent="0.25">
      <c r="A16" s="6" t="s">
        <v>27</v>
      </c>
      <c r="B16" s="6" t="s">
        <v>715</v>
      </c>
      <c r="D16" s="6" t="s">
        <v>1073</v>
      </c>
      <c r="E16" s="6" t="s">
        <v>579</v>
      </c>
      <c r="F16" s="6" t="s">
        <v>25</v>
      </c>
      <c r="G16" s="6" t="s">
        <v>580</v>
      </c>
      <c r="H16" s="6" t="s">
        <v>103</v>
      </c>
      <c r="I16" s="6" t="s">
        <v>104</v>
      </c>
      <c r="K16" s="6" t="s">
        <v>105</v>
      </c>
      <c r="L16" s="6" t="s">
        <v>106</v>
      </c>
      <c r="M16" s="6" t="s">
        <v>107</v>
      </c>
      <c r="N16" s="6" t="s">
        <v>108</v>
      </c>
      <c r="P16" s="6" t="s">
        <v>105</v>
      </c>
      <c r="Q16" s="6" t="s">
        <v>106</v>
      </c>
      <c r="R16" s="6" t="s">
        <v>109</v>
      </c>
      <c r="S16" s="6" t="s">
        <v>110</v>
      </c>
      <c r="U16" s="6" t="s">
        <v>105</v>
      </c>
      <c r="V16" s="6" t="s">
        <v>106</v>
      </c>
      <c r="W16" s="6" t="s">
        <v>111</v>
      </c>
      <c r="X16" s="6" t="s">
        <v>112</v>
      </c>
      <c r="Z16" s="6" t="s">
        <v>105</v>
      </c>
      <c r="AA16" s="6" t="s">
        <v>106</v>
      </c>
      <c r="AB16" s="6" t="s">
        <v>716</v>
      </c>
      <c r="AC16" s="6" t="s">
        <v>717</v>
      </c>
      <c r="AE16" s="6" t="s">
        <v>105</v>
      </c>
      <c r="AF16" s="6" t="s">
        <v>106</v>
      </c>
      <c r="AG16" s="6" t="s">
        <v>718</v>
      </c>
      <c r="AH16" s="6" t="s">
        <v>719</v>
      </c>
      <c r="AJ16" s="6" t="s">
        <v>105</v>
      </c>
      <c r="AK16" s="6" t="s">
        <v>106</v>
      </c>
      <c r="AL16" s="6" t="s">
        <v>720</v>
      </c>
      <c r="AM16" s="6" t="s">
        <v>721</v>
      </c>
    </row>
    <row r="17" spans="1:39" x14ac:dyDescent="0.25">
      <c r="A17" s="6" t="s">
        <v>27</v>
      </c>
      <c r="B17" s="6" t="s">
        <v>722</v>
      </c>
      <c r="D17" s="6" t="s">
        <v>1074</v>
      </c>
      <c r="E17" s="6" t="s">
        <v>581</v>
      </c>
      <c r="F17" s="6" t="s">
        <v>25</v>
      </c>
      <c r="G17" s="6" t="s">
        <v>582</v>
      </c>
      <c r="H17" s="6" t="s">
        <v>113</v>
      </c>
      <c r="I17" s="6" t="s">
        <v>114</v>
      </c>
      <c r="K17" s="6" t="s">
        <v>115</v>
      </c>
      <c r="L17" s="6" t="s">
        <v>116</v>
      </c>
      <c r="M17" s="6" t="s">
        <v>117</v>
      </c>
      <c r="N17" s="6" t="s">
        <v>118</v>
      </c>
      <c r="P17" s="6" t="s">
        <v>115</v>
      </c>
      <c r="Q17" s="6" t="s">
        <v>116</v>
      </c>
      <c r="R17" s="6" t="s">
        <v>119</v>
      </c>
      <c r="S17" s="6" t="s">
        <v>120</v>
      </c>
      <c r="U17" s="6" t="s">
        <v>115</v>
      </c>
      <c r="V17" s="6" t="s">
        <v>116</v>
      </c>
      <c r="W17" s="6" t="s">
        <v>121</v>
      </c>
      <c r="X17" s="6" t="s">
        <v>122</v>
      </c>
      <c r="Z17" s="6" t="s">
        <v>115</v>
      </c>
      <c r="AA17" s="6" t="s">
        <v>116</v>
      </c>
      <c r="AB17" s="6" t="s">
        <v>723</v>
      </c>
      <c r="AC17" s="6" t="s">
        <v>724</v>
      </c>
      <c r="AE17" s="6" t="s">
        <v>115</v>
      </c>
      <c r="AF17" s="6" t="s">
        <v>116</v>
      </c>
      <c r="AG17" s="6" t="s">
        <v>725</v>
      </c>
      <c r="AH17" s="6" t="s">
        <v>726</v>
      </c>
      <c r="AJ17" s="6" t="s">
        <v>115</v>
      </c>
      <c r="AK17" s="6" t="s">
        <v>116</v>
      </c>
      <c r="AL17" s="6" t="s">
        <v>727</v>
      </c>
      <c r="AM17" s="6" t="s">
        <v>728</v>
      </c>
    </row>
    <row r="18" spans="1:39" x14ac:dyDescent="0.25">
      <c r="A18" s="6" t="s">
        <v>27</v>
      </c>
      <c r="B18" s="6" t="s">
        <v>729</v>
      </c>
      <c r="D18" s="6" t="s">
        <v>1075</v>
      </c>
      <c r="E18" s="6" t="s">
        <v>583</v>
      </c>
      <c r="F18" s="6" t="s">
        <v>25</v>
      </c>
      <c r="G18" s="6" t="s">
        <v>584</v>
      </c>
      <c r="H18" s="6" t="s">
        <v>123</v>
      </c>
      <c r="I18" s="6" t="s">
        <v>124</v>
      </c>
      <c r="K18" s="6" t="s">
        <v>125</v>
      </c>
      <c r="L18" s="6" t="s">
        <v>126</v>
      </c>
      <c r="M18" s="6" t="s">
        <v>127</v>
      </c>
      <c r="N18" s="6" t="s">
        <v>128</v>
      </c>
      <c r="P18" s="6" t="s">
        <v>125</v>
      </c>
      <c r="Q18" s="6" t="s">
        <v>126</v>
      </c>
      <c r="R18" s="6" t="s">
        <v>129</v>
      </c>
      <c r="S18" s="6" t="s">
        <v>130</v>
      </c>
      <c r="U18" s="6" t="s">
        <v>125</v>
      </c>
      <c r="V18" s="6" t="s">
        <v>126</v>
      </c>
      <c r="W18" s="6" t="s">
        <v>131</v>
      </c>
      <c r="X18" s="6" t="s">
        <v>132</v>
      </c>
      <c r="Z18" s="6" t="s">
        <v>125</v>
      </c>
      <c r="AA18" s="6" t="s">
        <v>126</v>
      </c>
      <c r="AB18" s="6" t="s">
        <v>730</v>
      </c>
      <c r="AC18" s="6" t="s">
        <v>731</v>
      </c>
      <c r="AE18" s="6" t="s">
        <v>125</v>
      </c>
      <c r="AF18" s="6" t="s">
        <v>126</v>
      </c>
      <c r="AG18" s="6" t="s">
        <v>732</v>
      </c>
      <c r="AH18" s="6" t="s">
        <v>733</v>
      </c>
      <c r="AJ18" s="6" t="s">
        <v>125</v>
      </c>
      <c r="AK18" s="6" t="s">
        <v>126</v>
      </c>
      <c r="AL18" s="6" t="s">
        <v>734</v>
      </c>
      <c r="AM18" s="6" t="s">
        <v>735</v>
      </c>
    </row>
    <row r="19" spans="1:39" x14ac:dyDescent="0.25">
      <c r="A19" s="6" t="s">
        <v>27</v>
      </c>
      <c r="B19" s="6" t="s">
        <v>736</v>
      </c>
      <c r="D19" s="6" t="s">
        <v>1076</v>
      </c>
      <c r="E19" s="6" t="s">
        <v>585</v>
      </c>
      <c r="F19" s="6" t="s">
        <v>25</v>
      </c>
      <c r="G19" s="6" t="s">
        <v>586</v>
      </c>
      <c r="H19" s="6" t="s">
        <v>133</v>
      </c>
      <c r="I19" s="6" t="s">
        <v>134</v>
      </c>
      <c r="K19" s="6" t="s">
        <v>135</v>
      </c>
      <c r="L19" s="6" t="s">
        <v>136</v>
      </c>
      <c r="M19" s="6" t="s">
        <v>137</v>
      </c>
      <c r="N19" s="6" t="s">
        <v>138</v>
      </c>
      <c r="P19" s="6" t="s">
        <v>135</v>
      </c>
      <c r="Q19" s="6" t="s">
        <v>136</v>
      </c>
      <c r="R19" s="6" t="s">
        <v>139</v>
      </c>
      <c r="S19" s="6" t="s">
        <v>140</v>
      </c>
      <c r="U19" s="6" t="s">
        <v>135</v>
      </c>
      <c r="V19" s="6" t="s">
        <v>136</v>
      </c>
      <c r="W19" s="6" t="s">
        <v>141</v>
      </c>
      <c r="X19" s="6" t="s">
        <v>142</v>
      </c>
      <c r="Z19" s="6" t="s">
        <v>135</v>
      </c>
      <c r="AA19" s="6" t="s">
        <v>136</v>
      </c>
      <c r="AB19" s="6" t="s">
        <v>737</v>
      </c>
      <c r="AC19" s="6" t="s">
        <v>738</v>
      </c>
      <c r="AE19" s="6" t="s">
        <v>135</v>
      </c>
      <c r="AF19" s="6" t="s">
        <v>136</v>
      </c>
      <c r="AG19" s="6" t="s">
        <v>739</v>
      </c>
      <c r="AH19" s="6" t="s">
        <v>740</v>
      </c>
      <c r="AJ19" s="6" t="s">
        <v>135</v>
      </c>
      <c r="AK19" s="6" t="s">
        <v>136</v>
      </c>
      <c r="AL19" s="6" t="s">
        <v>741</v>
      </c>
      <c r="AM19" s="6" t="s">
        <v>742</v>
      </c>
    </row>
    <row r="20" spans="1:39" x14ac:dyDescent="0.25">
      <c r="A20" s="6" t="s">
        <v>27</v>
      </c>
      <c r="B20" s="6" t="s">
        <v>743</v>
      </c>
      <c r="D20" s="6" t="s">
        <v>1077</v>
      </c>
      <c r="E20" s="6" t="s">
        <v>587</v>
      </c>
      <c r="F20" s="6" t="s">
        <v>25</v>
      </c>
      <c r="G20" s="6" t="s">
        <v>588</v>
      </c>
      <c r="H20" s="6" t="s">
        <v>143</v>
      </c>
      <c r="I20" s="6" t="s">
        <v>144</v>
      </c>
      <c r="K20" s="6" t="s">
        <v>145</v>
      </c>
      <c r="L20" s="6" t="s">
        <v>146</v>
      </c>
      <c r="M20" s="6" t="s">
        <v>147</v>
      </c>
      <c r="N20" s="6" t="s">
        <v>148</v>
      </c>
      <c r="P20" s="6" t="s">
        <v>145</v>
      </c>
      <c r="Q20" s="6" t="s">
        <v>146</v>
      </c>
      <c r="R20" s="6" t="s">
        <v>149</v>
      </c>
      <c r="S20" s="6" t="s">
        <v>150</v>
      </c>
      <c r="U20" s="6" t="s">
        <v>145</v>
      </c>
      <c r="V20" s="6" t="s">
        <v>146</v>
      </c>
      <c r="W20" s="6" t="s">
        <v>151</v>
      </c>
      <c r="X20" s="6" t="s">
        <v>152</v>
      </c>
      <c r="Z20" s="6" t="s">
        <v>145</v>
      </c>
      <c r="AA20" s="6" t="s">
        <v>146</v>
      </c>
      <c r="AB20" s="6" t="s">
        <v>744</v>
      </c>
      <c r="AC20" s="6" t="s">
        <v>745</v>
      </c>
      <c r="AE20" s="6" t="s">
        <v>145</v>
      </c>
      <c r="AF20" s="6" t="s">
        <v>146</v>
      </c>
      <c r="AG20" s="6" t="s">
        <v>746</v>
      </c>
      <c r="AH20" s="6" t="s">
        <v>747</v>
      </c>
      <c r="AJ20" s="6" t="s">
        <v>145</v>
      </c>
      <c r="AK20" s="6" t="s">
        <v>146</v>
      </c>
      <c r="AL20" s="6" t="s">
        <v>748</v>
      </c>
      <c r="AM20" s="6" t="s">
        <v>749</v>
      </c>
    </row>
    <row r="21" spans="1:39" x14ac:dyDescent="0.25">
      <c r="A21" s="6" t="s">
        <v>27</v>
      </c>
      <c r="B21" s="6" t="s">
        <v>750</v>
      </c>
      <c r="D21" s="6" t="s">
        <v>1078</v>
      </c>
      <c r="E21" s="6" t="s">
        <v>589</v>
      </c>
      <c r="F21" s="6" t="s">
        <v>25</v>
      </c>
      <c r="G21" s="6" t="s">
        <v>590</v>
      </c>
      <c r="H21" s="6" t="s">
        <v>153</v>
      </c>
      <c r="I21" s="6" t="s">
        <v>154</v>
      </c>
      <c r="K21" s="6" t="s">
        <v>155</v>
      </c>
      <c r="L21" s="6" t="s">
        <v>156</v>
      </c>
      <c r="M21" s="6" t="s">
        <v>157</v>
      </c>
      <c r="N21" s="6" t="s">
        <v>158</v>
      </c>
      <c r="P21" s="6" t="s">
        <v>155</v>
      </c>
      <c r="Q21" s="6" t="s">
        <v>156</v>
      </c>
      <c r="R21" s="6" t="s">
        <v>159</v>
      </c>
      <c r="S21" s="6" t="s">
        <v>160</v>
      </c>
      <c r="U21" s="6" t="s">
        <v>155</v>
      </c>
      <c r="V21" s="6" t="s">
        <v>156</v>
      </c>
      <c r="W21" s="6" t="s">
        <v>161</v>
      </c>
      <c r="X21" s="6" t="s">
        <v>162</v>
      </c>
      <c r="Z21" s="6" t="s">
        <v>155</v>
      </c>
      <c r="AA21" s="6" t="s">
        <v>156</v>
      </c>
      <c r="AB21" s="6" t="s">
        <v>751</v>
      </c>
      <c r="AC21" s="6" t="s">
        <v>752</v>
      </c>
      <c r="AE21" s="6" t="s">
        <v>155</v>
      </c>
      <c r="AF21" s="6" t="s">
        <v>156</v>
      </c>
      <c r="AG21" s="6" t="s">
        <v>753</v>
      </c>
      <c r="AH21" s="6" t="s">
        <v>754</v>
      </c>
      <c r="AJ21" s="6" t="s">
        <v>155</v>
      </c>
      <c r="AK21" s="6" t="s">
        <v>156</v>
      </c>
      <c r="AL21" s="6" t="s">
        <v>755</v>
      </c>
      <c r="AM21" s="6" t="s">
        <v>756</v>
      </c>
    </row>
    <row r="22" spans="1:39" x14ac:dyDescent="0.25">
      <c r="A22" s="6" t="s">
        <v>27</v>
      </c>
      <c r="B22" s="6" t="s">
        <v>757</v>
      </c>
      <c r="D22" s="6" t="s">
        <v>1079</v>
      </c>
      <c r="E22" s="6" t="s">
        <v>591</v>
      </c>
      <c r="F22" s="6" t="s">
        <v>25</v>
      </c>
      <c r="G22" s="6" t="s">
        <v>592</v>
      </c>
      <c r="H22" s="6" t="s">
        <v>163</v>
      </c>
      <c r="I22" s="6" t="s">
        <v>164</v>
      </c>
      <c r="K22" s="6" t="s">
        <v>165</v>
      </c>
      <c r="L22" s="6" t="s">
        <v>166</v>
      </c>
      <c r="M22" s="6" t="s">
        <v>167</v>
      </c>
      <c r="N22" s="6" t="s">
        <v>168</v>
      </c>
      <c r="P22" s="6" t="s">
        <v>165</v>
      </c>
      <c r="Q22" s="6" t="s">
        <v>166</v>
      </c>
      <c r="R22" s="6" t="s">
        <v>169</v>
      </c>
      <c r="S22" s="6" t="s">
        <v>170</v>
      </c>
      <c r="U22" s="6" t="s">
        <v>165</v>
      </c>
      <c r="V22" s="6" t="s">
        <v>166</v>
      </c>
      <c r="W22" s="6" t="s">
        <v>171</v>
      </c>
      <c r="X22" s="6" t="s">
        <v>172</v>
      </c>
      <c r="Z22" s="6" t="s">
        <v>165</v>
      </c>
      <c r="AA22" s="6" t="s">
        <v>166</v>
      </c>
      <c r="AB22" s="6" t="s">
        <v>758</v>
      </c>
      <c r="AC22" s="6" t="s">
        <v>759</v>
      </c>
      <c r="AE22" s="6" t="s">
        <v>165</v>
      </c>
      <c r="AF22" s="6" t="s">
        <v>166</v>
      </c>
      <c r="AG22" s="6" t="s">
        <v>760</v>
      </c>
      <c r="AH22" s="6" t="s">
        <v>761</v>
      </c>
      <c r="AJ22" s="6" t="s">
        <v>165</v>
      </c>
      <c r="AK22" s="6" t="s">
        <v>166</v>
      </c>
      <c r="AL22" s="6" t="s">
        <v>762</v>
      </c>
      <c r="AM22" s="6" t="s">
        <v>763</v>
      </c>
    </row>
    <row r="23" spans="1:39" x14ac:dyDescent="0.25">
      <c r="A23" s="6" t="s">
        <v>27</v>
      </c>
      <c r="B23" s="6" t="s">
        <v>764</v>
      </c>
      <c r="D23" s="6" t="s">
        <v>1080</v>
      </c>
      <c r="E23" s="6" t="s">
        <v>593</v>
      </c>
      <c r="F23" s="6" t="s">
        <v>25</v>
      </c>
      <c r="G23" s="6" t="s">
        <v>594</v>
      </c>
      <c r="H23" s="6" t="s">
        <v>173</v>
      </c>
      <c r="I23" s="6" t="s">
        <v>174</v>
      </c>
      <c r="K23" s="6" t="s">
        <v>175</v>
      </c>
      <c r="L23" s="6" t="s">
        <v>176</v>
      </c>
      <c r="M23" s="6" t="s">
        <v>177</v>
      </c>
      <c r="N23" s="6" t="s">
        <v>178</v>
      </c>
      <c r="P23" s="6" t="s">
        <v>175</v>
      </c>
      <c r="Q23" s="6" t="s">
        <v>176</v>
      </c>
      <c r="R23" s="6" t="s">
        <v>179</v>
      </c>
      <c r="S23" s="6" t="s">
        <v>180</v>
      </c>
      <c r="U23" s="6" t="s">
        <v>175</v>
      </c>
      <c r="V23" s="6" t="s">
        <v>176</v>
      </c>
      <c r="W23" s="6" t="s">
        <v>181</v>
      </c>
      <c r="X23" s="6" t="s">
        <v>182</v>
      </c>
      <c r="Z23" s="6" t="s">
        <v>175</v>
      </c>
      <c r="AA23" s="6" t="s">
        <v>176</v>
      </c>
      <c r="AB23" s="6" t="s">
        <v>765</v>
      </c>
      <c r="AC23" s="6" t="s">
        <v>766</v>
      </c>
      <c r="AE23" s="6" t="s">
        <v>175</v>
      </c>
      <c r="AF23" s="6" t="s">
        <v>176</v>
      </c>
      <c r="AG23" s="6" t="s">
        <v>767</v>
      </c>
      <c r="AH23" s="6" t="s">
        <v>768</v>
      </c>
      <c r="AJ23" s="6" t="s">
        <v>175</v>
      </c>
      <c r="AK23" s="6" t="s">
        <v>176</v>
      </c>
      <c r="AL23" s="6" t="s">
        <v>769</v>
      </c>
      <c r="AM23" s="6" t="s">
        <v>770</v>
      </c>
    </row>
    <row r="24" spans="1:39" x14ac:dyDescent="0.25">
      <c r="A24" s="6" t="s">
        <v>27</v>
      </c>
      <c r="B24" s="6" t="s">
        <v>771</v>
      </c>
      <c r="D24" s="6" t="s">
        <v>1081</v>
      </c>
      <c r="E24" s="6" t="s">
        <v>595</v>
      </c>
      <c r="F24" s="6" t="s">
        <v>25</v>
      </c>
      <c r="G24" s="6" t="s">
        <v>596</v>
      </c>
      <c r="H24" s="6" t="s">
        <v>183</v>
      </c>
      <c r="I24" s="6" t="s">
        <v>184</v>
      </c>
      <c r="K24" s="6" t="s">
        <v>185</v>
      </c>
      <c r="L24" s="6" t="s">
        <v>186</v>
      </c>
      <c r="M24" s="6" t="s">
        <v>187</v>
      </c>
      <c r="N24" s="6" t="s">
        <v>188</v>
      </c>
      <c r="P24" s="6" t="s">
        <v>185</v>
      </c>
      <c r="Q24" s="6" t="s">
        <v>186</v>
      </c>
      <c r="R24" s="6" t="s">
        <v>189</v>
      </c>
      <c r="S24" s="6" t="s">
        <v>190</v>
      </c>
      <c r="U24" s="6" t="s">
        <v>185</v>
      </c>
      <c r="V24" s="6" t="s">
        <v>186</v>
      </c>
      <c r="W24" s="6" t="s">
        <v>191</v>
      </c>
      <c r="X24" s="6" t="s">
        <v>192</v>
      </c>
      <c r="Z24" s="6" t="s">
        <v>185</v>
      </c>
      <c r="AA24" s="6" t="s">
        <v>186</v>
      </c>
      <c r="AB24" s="6" t="s">
        <v>772</v>
      </c>
      <c r="AC24" s="6" t="s">
        <v>773</v>
      </c>
      <c r="AE24" s="6" t="s">
        <v>185</v>
      </c>
      <c r="AF24" s="6" t="s">
        <v>186</v>
      </c>
      <c r="AG24" s="6" t="s">
        <v>774</v>
      </c>
      <c r="AH24" s="6" t="s">
        <v>775</v>
      </c>
      <c r="AJ24" s="6" t="s">
        <v>185</v>
      </c>
      <c r="AK24" s="6" t="s">
        <v>186</v>
      </c>
      <c r="AL24" s="6" t="s">
        <v>776</v>
      </c>
      <c r="AM24" s="6" t="s">
        <v>777</v>
      </c>
    </row>
    <row r="25" spans="1:39" x14ac:dyDescent="0.25">
      <c r="A25" s="6" t="s">
        <v>27</v>
      </c>
      <c r="B25" s="6" t="s">
        <v>778</v>
      </c>
      <c r="D25" s="6" t="s">
        <v>1082</v>
      </c>
      <c r="E25" s="6" t="s">
        <v>597</v>
      </c>
      <c r="F25" s="6" t="s">
        <v>25</v>
      </c>
      <c r="G25" s="6" t="s">
        <v>598</v>
      </c>
      <c r="H25" s="6" t="s">
        <v>193</v>
      </c>
      <c r="I25" s="6" t="s">
        <v>194</v>
      </c>
      <c r="K25" s="6" t="s">
        <v>195</v>
      </c>
      <c r="L25" s="6" t="s">
        <v>196</v>
      </c>
      <c r="M25" s="6" t="s">
        <v>197</v>
      </c>
      <c r="N25" s="6" t="s">
        <v>198</v>
      </c>
      <c r="P25" s="6" t="s">
        <v>195</v>
      </c>
      <c r="Q25" s="6" t="s">
        <v>196</v>
      </c>
      <c r="R25" s="6" t="s">
        <v>199</v>
      </c>
      <c r="S25" s="6" t="s">
        <v>200</v>
      </c>
      <c r="U25" s="6" t="s">
        <v>195</v>
      </c>
      <c r="V25" s="6" t="s">
        <v>196</v>
      </c>
      <c r="W25" s="6" t="s">
        <v>201</v>
      </c>
      <c r="X25" s="6" t="s">
        <v>202</v>
      </c>
      <c r="Z25" s="6" t="s">
        <v>195</v>
      </c>
      <c r="AA25" s="6" t="s">
        <v>196</v>
      </c>
      <c r="AB25" s="6" t="s">
        <v>779</v>
      </c>
      <c r="AC25" s="6" t="s">
        <v>780</v>
      </c>
      <c r="AE25" s="6" t="s">
        <v>195</v>
      </c>
      <c r="AF25" s="6" t="s">
        <v>196</v>
      </c>
      <c r="AG25" s="6" t="s">
        <v>781</v>
      </c>
      <c r="AH25" s="6" t="s">
        <v>782</v>
      </c>
      <c r="AJ25" s="6" t="s">
        <v>195</v>
      </c>
      <c r="AK25" s="6" t="s">
        <v>196</v>
      </c>
      <c r="AL25" s="6" t="s">
        <v>783</v>
      </c>
      <c r="AM25" s="6" t="s">
        <v>784</v>
      </c>
    </row>
    <row r="26" spans="1:39" x14ac:dyDescent="0.25">
      <c r="A26" s="6" t="s">
        <v>27</v>
      </c>
      <c r="B26" s="6" t="s">
        <v>785</v>
      </c>
      <c r="D26" s="6" t="s">
        <v>1083</v>
      </c>
      <c r="E26" s="6" t="s">
        <v>599</v>
      </c>
      <c r="F26" s="6" t="s">
        <v>25</v>
      </c>
      <c r="G26" s="6" t="s">
        <v>600</v>
      </c>
      <c r="H26" s="6" t="s">
        <v>203</v>
      </c>
      <c r="I26" s="6" t="s">
        <v>204</v>
      </c>
      <c r="K26" s="6" t="s">
        <v>205</v>
      </c>
      <c r="L26" s="6" t="s">
        <v>206</v>
      </c>
      <c r="M26" s="6" t="s">
        <v>207</v>
      </c>
      <c r="N26" s="6" t="s">
        <v>208</v>
      </c>
      <c r="P26" s="6" t="s">
        <v>205</v>
      </c>
      <c r="Q26" s="6" t="s">
        <v>206</v>
      </c>
      <c r="R26" s="6" t="s">
        <v>209</v>
      </c>
      <c r="S26" s="6" t="s">
        <v>210</v>
      </c>
      <c r="U26" s="6" t="s">
        <v>205</v>
      </c>
      <c r="V26" s="6" t="s">
        <v>206</v>
      </c>
      <c r="W26" s="6" t="s">
        <v>211</v>
      </c>
      <c r="X26" s="6" t="s">
        <v>212</v>
      </c>
      <c r="Z26" s="6" t="s">
        <v>205</v>
      </c>
      <c r="AA26" s="6" t="s">
        <v>206</v>
      </c>
      <c r="AB26" s="6" t="s">
        <v>786</v>
      </c>
      <c r="AC26" s="6" t="s">
        <v>787</v>
      </c>
      <c r="AE26" s="6" t="s">
        <v>205</v>
      </c>
      <c r="AF26" s="6" t="s">
        <v>206</v>
      </c>
      <c r="AG26" s="6" t="s">
        <v>788</v>
      </c>
      <c r="AH26" s="6" t="s">
        <v>789</v>
      </c>
      <c r="AJ26" s="6" t="s">
        <v>205</v>
      </c>
      <c r="AK26" s="6" t="s">
        <v>206</v>
      </c>
      <c r="AL26" s="6" t="s">
        <v>790</v>
      </c>
      <c r="AM26" s="6" t="s">
        <v>791</v>
      </c>
    </row>
    <row r="27" spans="1:39" x14ac:dyDescent="0.25">
      <c r="A27" s="6" t="s">
        <v>27</v>
      </c>
      <c r="B27" s="6" t="s">
        <v>792</v>
      </c>
      <c r="D27" s="6" t="s">
        <v>1084</v>
      </c>
      <c r="E27" s="6" t="s">
        <v>601</v>
      </c>
      <c r="F27" s="6" t="s">
        <v>25</v>
      </c>
      <c r="G27" s="6" t="s">
        <v>602</v>
      </c>
      <c r="H27" s="6" t="s">
        <v>213</v>
      </c>
      <c r="I27" s="6" t="s">
        <v>214</v>
      </c>
      <c r="K27" s="6" t="s">
        <v>215</v>
      </c>
      <c r="L27" s="6" t="s">
        <v>216</v>
      </c>
      <c r="M27" s="6" t="s">
        <v>217</v>
      </c>
      <c r="N27" s="6" t="s">
        <v>218</v>
      </c>
      <c r="P27" s="6" t="s">
        <v>215</v>
      </c>
      <c r="Q27" s="6" t="s">
        <v>216</v>
      </c>
      <c r="R27" s="6" t="s">
        <v>219</v>
      </c>
      <c r="S27" s="6" t="s">
        <v>220</v>
      </c>
      <c r="U27" s="6" t="s">
        <v>215</v>
      </c>
      <c r="V27" s="6" t="s">
        <v>216</v>
      </c>
      <c r="W27" s="6" t="s">
        <v>221</v>
      </c>
      <c r="X27" s="6" t="s">
        <v>222</v>
      </c>
      <c r="Z27" s="6" t="s">
        <v>215</v>
      </c>
      <c r="AA27" s="6" t="s">
        <v>216</v>
      </c>
      <c r="AB27" s="6" t="s">
        <v>793</v>
      </c>
      <c r="AC27" s="6" t="s">
        <v>794</v>
      </c>
      <c r="AE27" s="6" t="s">
        <v>215</v>
      </c>
      <c r="AF27" s="6" t="s">
        <v>216</v>
      </c>
      <c r="AG27" s="6" t="s">
        <v>795</v>
      </c>
      <c r="AH27" s="6" t="s">
        <v>796</v>
      </c>
      <c r="AJ27" s="6" t="s">
        <v>215</v>
      </c>
      <c r="AK27" s="6" t="s">
        <v>216</v>
      </c>
      <c r="AL27" s="6" t="s">
        <v>797</v>
      </c>
      <c r="AM27" s="6" t="s">
        <v>798</v>
      </c>
    </row>
    <row r="28" spans="1:39" x14ac:dyDescent="0.25">
      <c r="A28" s="6" t="s">
        <v>27</v>
      </c>
      <c r="B28" s="6" t="s">
        <v>799</v>
      </c>
      <c r="D28" s="6" t="s">
        <v>1085</v>
      </c>
      <c r="E28" s="6" t="s">
        <v>603</v>
      </c>
      <c r="F28" s="6" t="s">
        <v>25</v>
      </c>
      <c r="G28" s="6" t="s">
        <v>604</v>
      </c>
      <c r="H28" s="6" t="s">
        <v>223</v>
      </c>
      <c r="I28" s="6" t="s">
        <v>224</v>
      </c>
      <c r="K28" s="6" t="s">
        <v>225</v>
      </c>
      <c r="L28" s="6" t="s">
        <v>226</v>
      </c>
      <c r="M28" s="6" t="s">
        <v>227</v>
      </c>
      <c r="N28" s="6" t="s">
        <v>228</v>
      </c>
      <c r="P28" s="6" t="s">
        <v>225</v>
      </c>
      <c r="Q28" s="6" t="s">
        <v>226</v>
      </c>
      <c r="R28" s="6" t="s">
        <v>229</v>
      </c>
      <c r="S28" s="6" t="s">
        <v>230</v>
      </c>
      <c r="U28" s="6" t="s">
        <v>225</v>
      </c>
      <c r="V28" s="6" t="s">
        <v>226</v>
      </c>
      <c r="W28" s="6" t="s">
        <v>231</v>
      </c>
      <c r="X28" s="6" t="s">
        <v>232</v>
      </c>
      <c r="Z28" s="6" t="s">
        <v>225</v>
      </c>
      <c r="AA28" s="6" t="s">
        <v>226</v>
      </c>
      <c r="AB28" s="6" t="s">
        <v>800</v>
      </c>
      <c r="AC28" s="6" t="s">
        <v>801</v>
      </c>
      <c r="AE28" s="6" t="s">
        <v>225</v>
      </c>
      <c r="AF28" s="6" t="s">
        <v>226</v>
      </c>
      <c r="AG28" s="6" t="s">
        <v>802</v>
      </c>
      <c r="AH28" s="6" t="s">
        <v>803</v>
      </c>
      <c r="AJ28" s="6" t="s">
        <v>225</v>
      </c>
      <c r="AK28" s="6" t="s">
        <v>226</v>
      </c>
      <c r="AL28" s="6" t="s">
        <v>804</v>
      </c>
      <c r="AM28" s="6" t="s">
        <v>805</v>
      </c>
    </row>
    <row r="29" spans="1:39" x14ac:dyDescent="0.25">
      <c r="A29" s="6" t="s">
        <v>27</v>
      </c>
      <c r="B29" s="6" t="s">
        <v>806</v>
      </c>
      <c r="D29" s="6" t="s">
        <v>1086</v>
      </c>
      <c r="E29" s="6" t="s">
        <v>605</v>
      </c>
      <c r="F29" s="6" t="s">
        <v>25</v>
      </c>
      <c r="G29" s="6" t="s">
        <v>606</v>
      </c>
      <c r="H29" s="6" t="s">
        <v>233</v>
      </c>
      <c r="I29" s="6" t="s">
        <v>234</v>
      </c>
      <c r="K29" s="6" t="s">
        <v>235</v>
      </c>
      <c r="L29" s="6" t="s">
        <v>236</v>
      </c>
      <c r="M29" s="6" t="s">
        <v>237</v>
      </c>
      <c r="N29" s="6" t="s">
        <v>238</v>
      </c>
      <c r="P29" s="6" t="s">
        <v>235</v>
      </c>
      <c r="Q29" s="6" t="s">
        <v>236</v>
      </c>
      <c r="R29" s="6" t="s">
        <v>239</v>
      </c>
      <c r="S29" s="6" t="s">
        <v>240</v>
      </c>
      <c r="U29" s="6" t="s">
        <v>235</v>
      </c>
      <c r="V29" s="6" t="s">
        <v>236</v>
      </c>
      <c r="W29" s="6" t="s">
        <v>241</v>
      </c>
      <c r="X29" s="6" t="s">
        <v>242</v>
      </c>
      <c r="Z29" s="6" t="s">
        <v>235</v>
      </c>
      <c r="AA29" s="6" t="s">
        <v>236</v>
      </c>
      <c r="AB29" s="6" t="s">
        <v>807</v>
      </c>
      <c r="AC29" s="6" t="s">
        <v>808</v>
      </c>
      <c r="AE29" s="6" t="s">
        <v>235</v>
      </c>
      <c r="AF29" s="6" t="s">
        <v>236</v>
      </c>
      <c r="AG29" s="6" t="s">
        <v>809</v>
      </c>
      <c r="AH29" s="6" t="s">
        <v>810</v>
      </c>
      <c r="AJ29" s="6" t="s">
        <v>235</v>
      </c>
      <c r="AK29" s="6" t="s">
        <v>236</v>
      </c>
      <c r="AL29" s="6" t="s">
        <v>811</v>
      </c>
      <c r="AM29" s="6" t="s">
        <v>812</v>
      </c>
    </row>
    <row r="30" spans="1:39" x14ac:dyDescent="0.25">
      <c r="A30" s="6" t="s">
        <v>27</v>
      </c>
      <c r="B30" s="6" t="s">
        <v>813</v>
      </c>
      <c r="D30" s="6" t="s">
        <v>1087</v>
      </c>
      <c r="E30" s="6" t="s">
        <v>607</v>
      </c>
      <c r="F30" s="6" t="s">
        <v>25</v>
      </c>
      <c r="G30" s="6" t="s">
        <v>608</v>
      </c>
      <c r="H30" s="6" t="s">
        <v>243</v>
      </c>
      <c r="I30" s="6" t="s">
        <v>244</v>
      </c>
      <c r="K30" s="6" t="s">
        <v>245</v>
      </c>
      <c r="L30" s="6" t="s">
        <v>246</v>
      </c>
      <c r="M30" s="6" t="s">
        <v>247</v>
      </c>
      <c r="N30" s="6" t="s">
        <v>248</v>
      </c>
      <c r="P30" s="6" t="s">
        <v>245</v>
      </c>
      <c r="Q30" s="6" t="s">
        <v>246</v>
      </c>
      <c r="R30" s="6" t="s">
        <v>249</v>
      </c>
      <c r="S30" s="6" t="s">
        <v>250</v>
      </c>
      <c r="U30" s="6" t="s">
        <v>245</v>
      </c>
      <c r="V30" s="6" t="s">
        <v>246</v>
      </c>
      <c r="W30" s="6" t="s">
        <v>251</v>
      </c>
      <c r="X30" s="6" t="s">
        <v>252</v>
      </c>
      <c r="Z30" s="6" t="s">
        <v>245</v>
      </c>
      <c r="AA30" s="6" t="s">
        <v>246</v>
      </c>
      <c r="AB30" s="6" t="s">
        <v>814</v>
      </c>
      <c r="AC30" s="6" t="s">
        <v>815</v>
      </c>
      <c r="AE30" s="6" t="s">
        <v>245</v>
      </c>
      <c r="AF30" s="6" t="s">
        <v>246</v>
      </c>
      <c r="AG30" s="6" t="s">
        <v>816</v>
      </c>
      <c r="AH30" s="6" t="s">
        <v>817</v>
      </c>
      <c r="AJ30" s="6" t="s">
        <v>245</v>
      </c>
      <c r="AK30" s="6" t="s">
        <v>246</v>
      </c>
      <c r="AL30" s="6" t="s">
        <v>818</v>
      </c>
      <c r="AM30" s="6" t="s">
        <v>819</v>
      </c>
    </row>
    <row r="31" spans="1:39" x14ac:dyDescent="0.25">
      <c r="A31" s="6" t="s">
        <v>27</v>
      </c>
      <c r="B31" s="6" t="s">
        <v>820</v>
      </c>
      <c r="D31" s="6" t="s">
        <v>1088</v>
      </c>
      <c r="E31" s="6" t="s">
        <v>609</v>
      </c>
      <c r="F31" s="6" t="s">
        <v>25</v>
      </c>
      <c r="G31" s="6" t="s">
        <v>610</v>
      </c>
      <c r="H31" s="6" t="s">
        <v>253</v>
      </c>
      <c r="I31" s="6" t="s">
        <v>254</v>
      </c>
      <c r="K31" s="6" t="s">
        <v>255</v>
      </c>
      <c r="L31" s="6" t="s">
        <v>256</v>
      </c>
      <c r="M31" s="6" t="s">
        <v>257</v>
      </c>
      <c r="N31" s="6" t="s">
        <v>258</v>
      </c>
      <c r="P31" s="6" t="s">
        <v>255</v>
      </c>
      <c r="Q31" s="6" t="s">
        <v>256</v>
      </c>
      <c r="R31" s="6" t="s">
        <v>259</v>
      </c>
      <c r="S31" s="6" t="s">
        <v>260</v>
      </c>
      <c r="U31" s="6" t="s">
        <v>255</v>
      </c>
      <c r="V31" s="6" t="s">
        <v>256</v>
      </c>
      <c r="W31" s="6" t="s">
        <v>261</v>
      </c>
      <c r="X31" s="6" t="s">
        <v>262</v>
      </c>
      <c r="Z31" s="6" t="s">
        <v>255</v>
      </c>
      <c r="AA31" s="6" t="s">
        <v>256</v>
      </c>
      <c r="AB31" s="6" t="s">
        <v>821</v>
      </c>
      <c r="AC31" s="6" t="s">
        <v>822</v>
      </c>
      <c r="AE31" s="6" t="s">
        <v>255</v>
      </c>
      <c r="AF31" s="6" t="s">
        <v>256</v>
      </c>
      <c r="AG31" s="6" t="s">
        <v>823</v>
      </c>
      <c r="AH31" s="6" t="s">
        <v>824</v>
      </c>
      <c r="AJ31" s="6" t="s">
        <v>255</v>
      </c>
      <c r="AK31" s="6" t="s">
        <v>256</v>
      </c>
      <c r="AL31" s="6" t="s">
        <v>825</v>
      </c>
      <c r="AM31" s="6" t="s">
        <v>826</v>
      </c>
    </row>
    <row r="32" spans="1:39" x14ac:dyDescent="0.25">
      <c r="A32" s="6" t="s">
        <v>27</v>
      </c>
      <c r="B32" s="6" t="s">
        <v>827</v>
      </c>
      <c r="D32" s="6" t="s">
        <v>1089</v>
      </c>
      <c r="E32" s="6" t="s">
        <v>611</v>
      </c>
      <c r="F32" s="6" t="s">
        <v>25</v>
      </c>
      <c r="G32" s="6" t="s">
        <v>612</v>
      </c>
      <c r="H32" s="6" t="s">
        <v>263</v>
      </c>
      <c r="I32" s="6" t="s">
        <v>264</v>
      </c>
      <c r="K32" s="6" t="s">
        <v>265</v>
      </c>
      <c r="L32" s="6" t="s">
        <v>266</v>
      </c>
      <c r="M32" s="6" t="s">
        <v>267</v>
      </c>
      <c r="N32" s="6" t="s">
        <v>268</v>
      </c>
      <c r="P32" s="6" t="s">
        <v>265</v>
      </c>
      <c r="Q32" s="6" t="s">
        <v>266</v>
      </c>
      <c r="R32" s="6" t="s">
        <v>269</v>
      </c>
      <c r="S32" s="6" t="s">
        <v>270</v>
      </c>
      <c r="U32" s="6" t="s">
        <v>265</v>
      </c>
      <c r="V32" s="6" t="s">
        <v>266</v>
      </c>
      <c r="W32" s="6" t="s">
        <v>271</v>
      </c>
      <c r="X32" s="6" t="s">
        <v>272</v>
      </c>
      <c r="Z32" s="6" t="s">
        <v>265</v>
      </c>
      <c r="AA32" s="6" t="s">
        <v>266</v>
      </c>
      <c r="AB32" s="6" t="s">
        <v>828</v>
      </c>
      <c r="AC32" s="6" t="s">
        <v>829</v>
      </c>
      <c r="AE32" s="6" t="s">
        <v>265</v>
      </c>
      <c r="AF32" s="6" t="s">
        <v>266</v>
      </c>
      <c r="AG32" s="6" t="s">
        <v>830</v>
      </c>
      <c r="AH32" s="6" t="s">
        <v>831</v>
      </c>
      <c r="AJ32" s="6" t="s">
        <v>265</v>
      </c>
      <c r="AK32" s="6" t="s">
        <v>266</v>
      </c>
      <c r="AL32" s="6" t="s">
        <v>832</v>
      </c>
      <c r="AM32" s="6" t="s">
        <v>833</v>
      </c>
    </row>
    <row r="33" spans="1:39" x14ac:dyDescent="0.25">
      <c r="A33" s="6" t="s">
        <v>27</v>
      </c>
      <c r="B33" s="6" t="s">
        <v>834</v>
      </c>
      <c r="D33" s="6" t="s">
        <v>1090</v>
      </c>
      <c r="E33" s="6" t="s">
        <v>613</v>
      </c>
      <c r="F33" s="6" t="s">
        <v>25</v>
      </c>
      <c r="G33" s="6" t="s">
        <v>614</v>
      </c>
      <c r="H33" s="6" t="s">
        <v>273</v>
      </c>
      <c r="I33" s="6" t="s">
        <v>274</v>
      </c>
      <c r="K33" s="6" t="s">
        <v>275</v>
      </c>
      <c r="L33" s="6" t="s">
        <v>276</v>
      </c>
      <c r="M33" s="6" t="s">
        <v>277</v>
      </c>
      <c r="N33" s="6" t="s">
        <v>278</v>
      </c>
      <c r="P33" s="6" t="s">
        <v>275</v>
      </c>
      <c r="Q33" s="6" t="s">
        <v>276</v>
      </c>
      <c r="R33" s="6" t="s">
        <v>279</v>
      </c>
      <c r="S33" s="6" t="s">
        <v>280</v>
      </c>
      <c r="U33" s="6" t="s">
        <v>275</v>
      </c>
      <c r="V33" s="6" t="s">
        <v>276</v>
      </c>
      <c r="W33" s="6" t="s">
        <v>281</v>
      </c>
      <c r="X33" s="6" t="s">
        <v>282</v>
      </c>
      <c r="Z33" s="6" t="s">
        <v>275</v>
      </c>
      <c r="AA33" s="6" t="s">
        <v>276</v>
      </c>
      <c r="AB33" s="6" t="s">
        <v>835</v>
      </c>
      <c r="AC33" s="6" t="s">
        <v>836</v>
      </c>
      <c r="AE33" s="6" t="s">
        <v>275</v>
      </c>
      <c r="AF33" s="6" t="s">
        <v>276</v>
      </c>
      <c r="AG33" s="6" t="s">
        <v>837</v>
      </c>
      <c r="AH33" s="6" t="s">
        <v>838</v>
      </c>
      <c r="AJ33" s="6" t="s">
        <v>275</v>
      </c>
      <c r="AK33" s="6" t="s">
        <v>276</v>
      </c>
      <c r="AL33" s="6" t="s">
        <v>839</v>
      </c>
      <c r="AM33" s="6" t="s">
        <v>840</v>
      </c>
    </row>
    <row r="34" spans="1:39" x14ac:dyDescent="0.25">
      <c r="A34" s="6" t="s">
        <v>27</v>
      </c>
      <c r="B34" s="6" t="s">
        <v>841</v>
      </c>
      <c r="D34" s="6" t="s">
        <v>1091</v>
      </c>
      <c r="E34" s="6" t="s">
        <v>615</v>
      </c>
      <c r="F34" s="6" t="s">
        <v>25</v>
      </c>
      <c r="G34" s="6" t="s">
        <v>616</v>
      </c>
      <c r="H34" s="6" t="s">
        <v>283</v>
      </c>
      <c r="I34" s="6" t="s">
        <v>284</v>
      </c>
      <c r="K34" s="6" t="s">
        <v>285</v>
      </c>
      <c r="L34" s="6" t="s">
        <v>286</v>
      </c>
      <c r="M34" s="6" t="s">
        <v>287</v>
      </c>
      <c r="N34" s="6" t="s">
        <v>288</v>
      </c>
      <c r="P34" s="6" t="s">
        <v>285</v>
      </c>
      <c r="Q34" s="6" t="s">
        <v>286</v>
      </c>
      <c r="R34" s="6" t="s">
        <v>289</v>
      </c>
      <c r="S34" s="6" t="s">
        <v>290</v>
      </c>
      <c r="U34" s="6" t="s">
        <v>285</v>
      </c>
      <c r="V34" s="6" t="s">
        <v>286</v>
      </c>
      <c r="W34" s="6" t="s">
        <v>291</v>
      </c>
      <c r="X34" s="6" t="s">
        <v>292</v>
      </c>
      <c r="Z34" s="6" t="s">
        <v>285</v>
      </c>
      <c r="AA34" s="6" t="s">
        <v>286</v>
      </c>
      <c r="AB34" s="6" t="s">
        <v>842</v>
      </c>
      <c r="AC34" s="6" t="s">
        <v>843</v>
      </c>
      <c r="AE34" s="6" t="s">
        <v>285</v>
      </c>
      <c r="AF34" s="6" t="s">
        <v>286</v>
      </c>
      <c r="AG34" s="6" t="s">
        <v>844</v>
      </c>
      <c r="AH34" s="6" t="s">
        <v>845</v>
      </c>
      <c r="AJ34" s="6" t="s">
        <v>285</v>
      </c>
      <c r="AK34" s="6" t="s">
        <v>286</v>
      </c>
      <c r="AL34" s="6" t="s">
        <v>846</v>
      </c>
      <c r="AM34" s="6" t="s">
        <v>847</v>
      </c>
    </row>
    <row r="35" spans="1:39" x14ac:dyDescent="0.25">
      <c r="A35" s="6" t="s">
        <v>27</v>
      </c>
      <c r="B35" s="6" t="s">
        <v>848</v>
      </c>
      <c r="D35" s="6" t="s">
        <v>1092</v>
      </c>
      <c r="E35" s="6" t="s">
        <v>617</v>
      </c>
      <c r="F35" s="6" t="s">
        <v>25</v>
      </c>
      <c r="G35" s="6" t="s">
        <v>618</v>
      </c>
      <c r="H35" s="6" t="s">
        <v>293</v>
      </c>
      <c r="I35" s="6" t="s">
        <v>294</v>
      </c>
      <c r="K35" s="6" t="s">
        <v>295</v>
      </c>
      <c r="L35" s="6" t="s">
        <v>296</v>
      </c>
      <c r="M35" s="6" t="s">
        <v>297</v>
      </c>
      <c r="N35" s="6" t="s">
        <v>298</v>
      </c>
      <c r="P35" s="6" t="s">
        <v>295</v>
      </c>
      <c r="Q35" s="6" t="s">
        <v>296</v>
      </c>
      <c r="R35" s="6" t="s">
        <v>299</v>
      </c>
      <c r="S35" s="6" t="s">
        <v>300</v>
      </c>
      <c r="U35" s="6" t="s">
        <v>295</v>
      </c>
      <c r="V35" s="6" t="s">
        <v>296</v>
      </c>
      <c r="W35" s="6" t="s">
        <v>301</v>
      </c>
      <c r="X35" s="6" t="s">
        <v>302</v>
      </c>
      <c r="Z35" s="6" t="s">
        <v>295</v>
      </c>
      <c r="AA35" s="6" t="s">
        <v>296</v>
      </c>
      <c r="AB35" s="6" t="s">
        <v>849</v>
      </c>
      <c r="AC35" s="6" t="s">
        <v>850</v>
      </c>
      <c r="AE35" s="6" t="s">
        <v>295</v>
      </c>
      <c r="AF35" s="6" t="s">
        <v>296</v>
      </c>
      <c r="AG35" s="6" t="s">
        <v>851</v>
      </c>
      <c r="AH35" s="6" t="s">
        <v>852</v>
      </c>
      <c r="AJ35" s="6" t="s">
        <v>295</v>
      </c>
      <c r="AK35" s="6" t="s">
        <v>296</v>
      </c>
      <c r="AL35" s="6" t="s">
        <v>853</v>
      </c>
      <c r="AM35" s="6" t="s">
        <v>854</v>
      </c>
    </row>
    <row r="36" spans="1:39" x14ac:dyDescent="0.25">
      <c r="A36" s="6" t="s">
        <v>27</v>
      </c>
      <c r="B36" s="6" t="s">
        <v>855</v>
      </c>
      <c r="D36" s="6" t="s">
        <v>1093</v>
      </c>
      <c r="E36" s="6" t="s">
        <v>619</v>
      </c>
      <c r="F36" s="6" t="s">
        <v>25</v>
      </c>
      <c r="G36" s="6" t="s">
        <v>620</v>
      </c>
      <c r="H36" s="6" t="s">
        <v>303</v>
      </c>
      <c r="I36" s="6" t="s">
        <v>304</v>
      </c>
      <c r="K36" s="6" t="s">
        <v>305</v>
      </c>
      <c r="L36" s="6" t="s">
        <v>306</v>
      </c>
      <c r="M36" s="6" t="s">
        <v>307</v>
      </c>
      <c r="N36" s="6" t="s">
        <v>308</v>
      </c>
      <c r="P36" s="6" t="s">
        <v>305</v>
      </c>
      <c r="Q36" s="6" t="s">
        <v>306</v>
      </c>
      <c r="R36" s="6" t="s">
        <v>309</v>
      </c>
      <c r="S36" s="6" t="s">
        <v>310</v>
      </c>
      <c r="U36" s="6" t="s">
        <v>305</v>
      </c>
      <c r="V36" s="6" t="s">
        <v>306</v>
      </c>
      <c r="W36" s="6" t="s">
        <v>311</v>
      </c>
      <c r="X36" s="6" t="s">
        <v>312</v>
      </c>
      <c r="Z36" s="6" t="s">
        <v>305</v>
      </c>
      <c r="AA36" s="6" t="s">
        <v>306</v>
      </c>
      <c r="AB36" s="6" t="s">
        <v>856</v>
      </c>
      <c r="AC36" s="6" t="s">
        <v>857</v>
      </c>
      <c r="AE36" s="6" t="s">
        <v>305</v>
      </c>
      <c r="AF36" s="6" t="s">
        <v>306</v>
      </c>
      <c r="AG36" s="6" t="s">
        <v>858</v>
      </c>
      <c r="AH36" s="6" t="s">
        <v>859</v>
      </c>
      <c r="AJ36" s="6" t="s">
        <v>305</v>
      </c>
      <c r="AK36" s="6" t="s">
        <v>306</v>
      </c>
      <c r="AL36" s="6" t="s">
        <v>860</v>
      </c>
      <c r="AM36" s="6" t="s">
        <v>861</v>
      </c>
    </row>
    <row r="37" spans="1:39" x14ac:dyDescent="0.25">
      <c r="A37" s="6" t="s">
        <v>27</v>
      </c>
      <c r="B37" s="6" t="s">
        <v>862</v>
      </c>
      <c r="D37" s="6" t="s">
        <v>1094</v>
      </c>
      <c r="E37" s="6" t="s">
        <v>621</v>
      </c>
      <c r="F37" s="6" t="s">
        <v>25</v>
      </c>
      <c r="G37" s="6" t="s">
        <v>622</v>
      </c>
      <c r="H37" s="6" t="s">
        <v>313</v>
      </c>
      <c r="I37" s="6" t="s">
        <v>314</v>
      </c>
      <c r="K37" s="6" t="s">
        <v>315</v>
      </c>
      <c r="L37" s="6" t="s">
        <v>316</v>
      </c>
      <c r="M37" s="6" t="s">
        <v>317</v>
      </c>
      <c r="N37" s="6" t="s">
        <v>318</v>
      </c>
      <c r="P37" s="6" t="s">
        <v>315</v>
      </c>
      <c r="Q37" s="6" t="s">
        <v>316</v>
      </c>
      <c r="R37" s="6" t="s">
        <v>319</v>
      </c>
      <c r="S37" s="6" t="s">
        <v>320</v>
      </c>
      <c r="U37" s="6" t="s">
        <v>315</v>
      </c>
      <c r="V37" s="6" t="s">
        <v>316</v>
      </c>
      <c r="W37" s="6" t="s">
        <v>321</v>
      </c>
      <c r="X37" s="6" t="s">
        <v>322</v>
      </c>
      <c r="Z37" s="6" t="s">
        <v>315</v>
      </c>
      <c r="AA37" s="6" t="s">
        <v>316</v>
      </c>
      <c r="AB37" s="6" t="s">
        <v>863</v>
      </c>
      <c r="AC37" s="6" t="s">
        <v>864</v>
      </c>
      <c r="AE37" s="6" t="s">
        <v>315</v>
      </c>
      <c r="AF37" s="6" t="s">
        <v>316</v>
      </c>
      <c r="AG37" s="6" t="s">
        <v>865</v>
      </c>
      <c r="AH37" s="6" t="s">
        <v>866</v>
      </c>
      <c r="AJ37" s="6" t="s">
        <v>315</v>
      </c>
      <c r="AK37" s="6" t="s">
        <v>316</v>
      </c>
      <c r="AL37" s="6" t="s">
        <v>867</v>
      </c>
      <c r="AM37" s="6" t="s">
        <v>868</v>
      </c>
    </row>
    <row r="38" spans="1:39" x14ac:dyDescent="0.25">
      <c r="A38" s="6" t="s">
        <v>27</v>
      </c>
      <c r="B38" s="6" t="s">
        <v>869</v>
      </c>
      <c r="D38" s="6" t="s">
        <v>1095</v>
      </c>
      <c r="E38" s="6" t="s">
        <v>623</v>
      </c>
      <c r="F38" s="6" t="s">
        <v>25</v>
      </c>
      <c r="G38" s="6" t="s">
        <v>624</v>
      </c>
      <c r="H38" s="6" t="s">
        <v>323</v>
      </c>
      <c r="I38" s="6" t="s">
        <v>324</v>
      </c>
      <c r="K38" s="6" t="s">
        <v>325</v>
      </c>
      <c r="L38" s="6" t="s">
        <v>326</v>
      </c>
      <c r="M38" s="6" t="s">
        <v>327</v>
      </c>
      <c r="N38" s="6" t="s">
        <v>328</v>
      </c>
      <c r="P38" s="6" t="s">
        <v>325</v>
      </c>
      <c r="Q38" s="6" t="s">
        <v>326</v>
      </c>
      <c r="R38" s="6" t="s">
        <v>329</v>
      </c>
      <c r="S38" s="6" t="s">
        <v>330</v>
      </c>
      <c r="U38" s="6" t="s">
        <v>325</v>
      </c>
      <c r="V38" s="6" t="s">
        <v>326</v>
      </c>
      <c r="W38" s="6" t="s">
        <v>331</v>
      </c>
      <c r="X38" s="6" t="s">
        <v>332</v>
      </c>
      <c r="Z38" s="6" t="s">
        <v>325</v>
      </c>
      <c r="AA38" s="6" t="s">
        <v>326</v>
      </c>
      <c r="AB38" s="6" t="s">
        <v>870</v>
      </c>
      <c r="AC38" s="6" t="s">
        <v>871</v>
      </c>
      <c r="AE38" s="6" t="s">
        <v>325</v>
      </c>
      <c r="AF38" s="6" t="s">
        <v>326</v>
      </c>
      <c r="AG38" s="6" t="s">
        <v>872</v>
      </c>
      <c r="AH38" s="6" t="s">
        <v>873</v>
      </c>
      <c r="AJ38" s="6" t="s">
        <v>325</v>
      </c>
      <c r="AK38" s="6" t="s">
        <v>326</v>
      </c>
      <c r="AL38" s="6" t="s">
        <v>874</v>
      </c>
      <c r="AM38" s="6" t="s">
        <v>875</v>
      </c>
    </row>
    <row r="39" spans="1:39" x14ac:dyDescent="0.25">
      <c r="A39" s="6" t="s">
        <v>27</v>
      </c>
      <c r="B39" s="6" t="s">
        <v>876</v>
      </c>
      <c r="D39" s="6" t="s">
        <v>1096</v>
      </c>
      <c r="E39" s="6" t="s">
        <v>625</v>
      </c>
      <c r="F39" s="6" t="s">
        <v>25</v>
      </c>
      <c r="G39" s="6" t="s">
        <v>626</v>
      </c>
      <c r="H39" s="6" t="s">
        <v>333</v>
      </c>
      <c r="I39" s="6" t="s">
        <v>334</v>
      </c>
      <c r="K39" s="6" t="s">
        <v>335</v>
      </c>
      <c r="L39" s="6" t="s">
        <v>336</v>
      </c>
      <c r="M39" s="6" t="s">
        <v>337</v>
      </c>
      <c r="N39" s="6" t="s">
        <v>338</v>
      </c>
      <c r="P39" s="6" t="s">
        <v>335</v>
      </c>
      <c r="Q39" s="6" t="s">
        <v>336</v>
      </c>
      <c r="R39" s="6" t="s">
        <v>339</v>
      </c>
      <c r="S39" s="6" t="s">
        <v>340</v>
      </c>
      <c r="U39" s="6" t="s">
        <v>335</v>
      </c>
      <c r="V39" s="6" t="s">
        <v>336</v>
      </c>
      <c r="W39" s="6" t="s">
        <v>341</v>
      </c>
      <c r="X39" s="6" t="s">
        <v>342</v>
      </c>
      <c r="Z39" s="6" t="s">
        <v>335</v>
      </c>
      <c r="AA39" s="6" t="s">
        <v>336</v>
      </c>
      <c r="AB39" s="6" t="s">
        <v>877</v>
      </c>
      <c r="AC39" s="6" t="s">
        <v>878</v>
      </c>
      <c r="AE39" s="6" t="s">
        <v>335</v>
      </c>
      <c r="AF39" s="6" t="s">
        <v>336</v>
      </c>
      <c r="AG39" s="6" t="s">
        <v>879</v>
      </c>
      <c r="AH39" s="6" t="s">
        <v>880</v>
      </c>
      <c r="AJ39" s="6" t="s">
        <v>335</v>
      </c>
      <c r="AK39" s="6" t="s">
        <v>336</v>
      </c>
      <c r="AL39" s="6" t="s">
        <v>881</v>
      </c>
      <c r="AM39" s="6" t="s">
        <v>882</v>
      </c>
    </row>
    <row r="40" spans="1:39" x14ac:dyDescent="0.25">
      <c r="A40" s="6" t="s">
        <v>27</v>
      </c>
      <c r="B40" s="6" t="s">
        <v>883</v>
      </c>
      <c r="D40" s="6" t="s">
        <v>1097</v>
      </c>
      <c r="E40" s="6" t="s">
        <v>627</v>
      </c>
      <c r="F40" s="6" t="s">
        <v>25</v>
      </c>
      <c r="G40" s="6" t="s">
        <v>628</v>
      </c>
      <c r="H40" s="6" t="s">
        <v>343</v>
      </c>
      <c r="I40" s="6" t="s">
        <v>344</v>
      </c>
      <c r="K40" s="6" t="s">
        <v>345</v>
      </c>
      <c r="L40" s="6" t="s">
        <v>346</v>
      </c>
      <c r="M40" s="6" t="s">
        <v>347</v>
      </c>
      <c r="N40" s="6" t="s">
        <v>348</v>
      </c>
      <c r="P40" s="6" t="s">
        <v>345</v>
      </c>
      <c r="Q40" s="6" t="s">
        <v>346</v>
      </c>
      <c r="R40" s="6" t="s">
        <v>349</v>
      </c>
      <c r="S40" s="6" t="s">
        <v>350</v>
      </c>
      <c r="U40" s="6" t="s">
        <v>345</v>
      </c>
      <c r="V40" s="6" t="s">
        <v>346</v>
      </c>
      <c r="W40" s="6" t="s">
        <v>351</v>
      </c>
      <c r="X40" s="6" t="s">
        <v>352</v>
      </c>
      <c r="Z40" s="6" t="s">
        <v>345</v>
      </c>
      <c r="AA40" s="6" t="s">
        <v>346</v>
      </c>
      <c r="AB40" s="6" t="s">
        <v>884</v>
      </c>
      <c r="AC40" s="6" t="s">
        <v>885</v>
      </c>
      <c r="AE40" s="6" t="s">
        <v>345</v>
      </c>
      <c r="AF40" s="6" t="s">
        <v>346</v>
      </c>
      <c r="AG40" s="6" t="s">
        <v>886</v>
      </c>
      <c r="AH40" s="6" t="s">
        <v>887</v>
      </c>
      <c r="AJ40" s="6" t="s">
        <v>345</v>
      </c>
      <c r="AK40" s="6" t="s">
        <v>346</v>
      </c>
      <c r="AL40" s="6" t="s">
        <v>888</v>
      </c>
      <c r="AM40" s="6" t="s">
        <v>889</v>
      </c>
    </row>
    <row r="41" spans="1:39" x14ac:dyDescent="0.25">
      <c r="A41" s="6" t="s">
        <v>27</v>
      </c>
      <c r="B41" s="6" t="s">
        <v>890</v>
      </c>
      <c r="D41" s="6" t="s">
        <v>1098</v>
      </c>
      <c r="E41" s="6" t="s">
        <v>629</v>
      </c>
      <c r="F41" s="6" t="s">
        <v>25</v>
      </c>
      <c r="G41" s="6" t="s">
        <v>630</v>
      </c>
      <c r="H41" s="6" t="s">
        <v>353</v>
      </c>
      <c r="I41" s="6" t="s">
        <v>354</v>
      </c>
      <c r="K41" s="6" t="s">
        <v>355</v>
      </c>
      <c r="L41" s="6" t="s">
        <v>356</v>
      </c>
      <c r="M41" s="6" t="s">
        <v>357</v>
      </c>
      <c r="N41" s="6" t="s">
        <v>358</v>
      </c>
      <c r="P41" s="6" t="s">
        <v>355</v>
      </c>
      <c r="Q41" s="6" t="s">
        <v>356</v>
      </c>
      <c r="R41" s="6" t="s">
        <v>359</v>
      </c>
      <c r="S41" s="6" t="s">
        <v>360</v>
      </c>
      <c r="U41" s="6" t="s">
        <v>355</v>
      </c>
      <c r="V41" s="6" t="s">
        <v>356</v>
      </c>
      <c r="W41" s="6" t="s">
        <v>361</v>
      </c>
      <c r="X41" s="6" t="s">
        <v>362</v>
      </c>
      <c r="Z41" s="6" t="s">
        <v>355</v>
      </c>
      <c r="AA41" s="6" t="s">
        <v>356</v>
      </c>
      <c r="AB41" s="6" t="s">
        <v>891</v>
      </c>
      <c r="AC41" s="6" t="s">
        <v>892</v>
      </c>
      <c r="AE41" s="6" t="s">
        <v>355</v>
      </c>
      <c r="AF41" s="6" t="s">
        <v>356</v>
      </c>
      <c r="AG41" s="6" t="s">
        <v>893</v>
      </c>
      <c r="AH41" s="6" t="s">
        <v>894</v>
      </c>
      <c r="AJ41" s="6" t="s">
        <v>355</v>
      </c>
      <c r="AK41" s="6" t="s">
        <v>356</v>
      </c>
      <c r="AL41" s="6" t="s">
        <v>895</v>
      </c>
      <c r="AM41" s="6" t="s">
        <v>896</v>
      </c>
    </row>
    <row r="42" spans="1:39" x14ac:dyDescent="0.25">
      <c r="A42" s="6" t="s">
        <v>27</v>
      </c>
      <c r="B42" s="6" t="s">
        <v>897</v>
      </c>
      <c r="D42" s="6" t="s">
        <v>1099</v>
      </c>
      <c r="E42" s="6" t="s">
        <v>631</v>
      </c>
      <c r="F42" s="6" t="s">
        <v>25</v>
      </c>
      <c r="G42" s="6" t="s">
        <v>632</v>
      </c>
      <c r="H42" s="6" t="s">
        <v>363</v>
      </c>
      <c r="I42" s="6" t="s">
        <v>364</v>
      </c>
      <c r="K42" s="6" t="s">
        <v>365</v>
      </c>
      <c r="L42" s="6" t="s">
        <v>366</v>
      </c>
      <c r="M42" s="6" t="s">
        <v>367</v>
      </c>
      <c r="N42" s="6" t="s">
        <v>368</v>
      </c>
      <c r="P42" s="6" t="s">
        <v>365</v>
      </c>
      <c r="Q42" s="6" t="s">
        <v>366</v>
      </c>
      <c r="R42" s="6" t="s">
        <v>369</v>
      </c>
      <c r="S42" s="6" t="s">
        <v>370</v>
      </c>
      <c r="U42" s="6" t="s">
        <v>365</v>
      </c>
      <c r="V42" s="6" t="s">
        <v>366</v>
      </c>
      <c r="W42" s="6" t="s">
        <v>371</v>
      </c>
      <c r="X42" s="6" t="s">
        <v>372</v>
      </c>
      <c r="Z42" s="6" t="s">
        <v>365</v>
      </c>
      <c r="AA42" s="6" t="s">
        <v>366</v>
      </c>
      <c r="AB42" s="6" t="s">
        <v>898</v>
      </c>
      <c r="AC42" s="6" t="s">
        <v>899</v>
      </c>
      <c r="AE42" s="6" t="s">
        <v>365</v>
      </c>
      <c r="AF42" s="6" t="s">
        <v>366</v>
      </c>
      <c r="AG42" s="6" t="s">
        <v>900</v>
      </c>
      <c r="AH42" s="6" t="s">
        <v>901</v>
      </c>
      <c r="AJ42" s="6" t="s">
        <v>365</v>
      </c>
      <c r="AK42" s="6" t="s">
        <v>366</v>
      </c>
      <c r="AL42" s="6" t="s">
        <v>902</v>
      </c>
      <c r="AM42" s="6" t="s">
        <v>903</v>
      </c>
    </row>
    <row r="43" spans="1:39" x14ac:dyDescent="0.25">
      <c r="A43" s="6" t="s">
        <v>27</v>
      </c>
      <c r="B43" s="6" t="s">
        <v>904</v>
      </c>
      <c r="D43" s="6" t="s">
        <v>1100</v>
      </c>
      <c r="E43" s="6" t="s">
        <v>633</v>
      </c>
      <c r="F43" s="6" t="s">
        <v>25</v>
      </c>
      <c r="G43" s="6" t="s">
        <v>634</v>
      </c>
      <c r="H43" s="6" t="s">
        <v>373</v>
      </c>
      <c r="I43" s="6" t="s">
        <v>374</v>
      </c>
      <c r="K43" s="6" t="s">
        <v>375</v>
      </c>
      <c r="L43" s="6" t="s">
        <v>376</v>
      </c>
      <c r="M43" s="6" t="s">
        <v>377</v>
      </c>
      <c r="N43" s="6" t="s">
        <v>378</v>
      </c>
      <c r="P43" s="6" t="s">
        <v>375</v>
      </c>
      <c r="Q43" s="6" t="s">
        <v>376</v>
      </c>
      <c r="R43" s="6" t="s">
        <v>379</v>
      </c>
      <c r="S43" s="6" t="s">
        <v>380</v>
      </c>
      <c r="U43" s="6" t="s">
        <v>375</v>
      </c>
      <c r="V43" s="6" t="s">
        <v>376</v>
      </c>
      <c r="W43" s="6" t="s">
        <v>381</v>
      </c>
      <c r="X43" s="6" t="s">
        <v>382</v>
      </c>
      <c r="Z43" s="6" t="s">
        <v>375</v>
      </c>
      <c r="AA43" s="6" t="s">
        <v>376</v>
      </c>
      <c r="AB43" s="6" t="s">
        <v>905</v>
      </c>
      <c r="AC43" s="6" t="s">
        <v>906</v>
      </c>
      <c r="AE43" s="6" t="s">
        <v>375</v>
      </c>
      <c r="AF43" s="6" t="s">
        <v>376</v>
      </c>
      <c r="AG43" s="6" t="s">
        <v>907</v>
      </c>
      <c r="AH43" s="6" t="s">
        <v>908</v>
      </c>
      <c r="AJ43" s="6" t="s">
        <v>375</v>
      </c>
      <c r="AK43" s="6" t="s">
        <v>376</v>
      </c>
      <c r="AL43" s="6" t="s">
        <v>909</v>
      </c>
      <c r="AM43" s="6" t="s">
        <v>910</v>
      </c>
    </row>
    <row r="44" spans="1:39" x14ac:dyDescent="0.25">
      <c r="A44" s="6" t="s">
        <v>27</v>
      </c>
      <c r="B44" s="6" t="s">
        <v>911</v>
      </c>
      <c r="D44" s="6" t="s">
        <v>1101</v>
      </c>
      <c r="E44" s="6" t="s">
        <v>635</v>
      </c>
      <c r="F44" s="6" t="s">
        <v>25</v>
      </c>
      <c r="G44" s="6" t="s">
        <v>636</v>
      </c>
      <c r="H44" s="6" t="s">
        <v>383</v>
      </c>
      <c r="I44" s="6" t="s">
        <v>384</v>
      </c>
      <c r="K44" s="6" t="s">
        <v>385</v>
      </c>
      <c r="L44" s="6" t="s">
        <v>386</v>
      </c>
      <c r="M44" s="6" t="s">
        <v>387</v>
      </c>
      <c r="N44" s="6" t="s">
        <v>388</v>
      </c>
      <c r="P44" s="6" t="s">
        <v>385</v>
      </c>
      <c r="Q44" s="6" t="s">
        <v>386</v>
      </c>
      <c r="R44" s="6" t="s">
        <v>389</v>
      </c>
      <c r="S44" s="6" t="s">
        <v>390</v>
      </c>
      <c r="U44" s="6" t="s">
        <v>385</v>
      </c>
      <c r="V44" s="6" t="s">
        <v>386</v>
      </c>
      <c r="W44" s="6" t="s">
        <v>391</v>
      </c>
      <c r="X44" s="6" t="s">
        <v>392</v>
      </c>
      <c r="Z44" s="6" t="s">
        <v>385</v>
      </c>
      <c r="AA44" s="6" t="s">
        <v>386</v>
      </c>
      <c r="AB44" s="6" t="s">
        <v>912</v>
      </c>
      <c r="AC44" s="6" t="s">
        <v>913</v>
      </c>
      <c r="AE44" s="6" t="s">
        <v>385</v>
      </c>
      <c r="AF44" s="6" t="s">
        <v>386</v>
      </c>
      <c r="AG44" s="6" t="s">
        <v>914</v>
      </c>
      <c r="AH44" s="6" t="s">
        <v>915</v>
      </c>
      <c r="AJ44" s="6" t="s">
        <v>385</v>
      </c>
      <c r="AK44" s="6" t="s">
        <v>386</v>
      </c>
      <c r="AL44" s="6" t="s">
        <v>916</v>
      </c>
      <c r="AM44" s="6" t="s">
        <v>917</v>
      </c>
    </row>
    <row r="45" spans="1:39" x14ac:dyDescent="0.25">
      <c r="A45" s="6" t="s">
        <v>27</v>
      </c>
      <c r="B45" s="6" t="s">
        <v>918</v>
      </c>
      <c r="D45" s="6" t="s">
        <v>1102</v>
      </c>
      <c r="E45" s="6" t="s">
        <v>637</v>
      </c>
      <c r="F45" s="6" t="s">
        <v>25</v>
      </c>
      <c r="G45" s="6" t="s">
        <v>638</v>
      </c>
      <c r="H45" s="6" t="s">
        <v>393</v>
      </c>
      <c r="I45" s="6" t="s">
        <v>394</v>
      </c>
      <c r="K45" s="6" t="s">
        <v>395</v>
      </c>
      <c r="L45" s="6" t="s">
        <v>396</v>
      </c>
      <c r="M45" s="6" t="s">
        <v>397</v>
      </c>
      <c r="N45" s="6" t="s">
        <v>398</v>
      </c>
      <c r="P45" s="6" t="s">
        <v>395</v>
      </c>
      <c r="Q45" s="6" t="s">
        <v>396</v>
      </c>
      <c r="R45" s="6" t="s">
        <v>399</v>
      </c>
      <c r="S45" s="6" t="s">
        <v>400</v>
      </c>
      <c r="U45" s="6" t="s">
        <v>395</v>
      </c>
      <c r="V45" s="6" t="s">
        <v>396</v>
      </c>
      <c r="W45" s="6" t="s">
        <v>401</v>
      </c>
      <c r="X45" s="6" t="s">
        <v>402</v>
      </c>
      <c r="Z45" s="6" t="s">
        <v>395</v>
      </c>
      <c r="AA45" s="6" t="s">
        <v>396</v>
      </c>
      <c r="AB45" s="6" t="s">
        <v>919</v>
      </c>
      <c r="AC45" s="6" t="s">
        <v>920</v>
      </c>
      <c r="AE45" s="6" t="s">
        <v>395</v>
      </c>
      <c r="AF45" s="6" t="s">
        <v>396</v>
      </c>
      <c r="AG45" s="6" t="s">
        <v>921</v>
      </c>
      <c r="AH45" s="6" t="s">
        <v>922</v>
      </c>
      <c r="AJ45" s="6" t="s">
        <v>395</v>
      </c>
      <c r="AK45" s="6" t="s">
        <v>396</v>
      </c>
      <c r="AL45" s="6" t="s">
        <v>923</v>
      </c>
      <c r="AM45" s="6" t="s">
        <v>924</v>
      </c>
    </row>
    <row r="46" spans="1:39" x14ac:dyDescent="0.25">
      <c r="A46" s="6" t="s">
        <v>27</v>
      </c>
      <c r="B46" s="6" t="s">
        <v>925</v>
      </c>
      <c r="D46" s="6" t="s">
        <v>1103</v>
      </c>
      <c r="E46" s="6" t="s">
        <v>639</v>
      </c>
      <c r="F46" s="6" t="s">
        <v>25</v>
      </c>
      <c r="G46" s="6" t="s">
        <v>640</v>
      </c>
      <c r="H46" s="6" t="s">
        <v>403</v>
      </c>
      <c r="I46" s="6" t="s">
        <v>404</v>
      </c>
      <c r="K46" s="6" t="s">
        <v>405</v>
      </c>
      <c r="L46" s="6" t="s">
        <v>406</v>
      </c>
      <c r="M46" s="6" t="s">
        <v>407</v>
      </c>
      <c r="N46" s="6" t="s">
        <v>408</v>
      </c>
      <c r="P46" s="6" t="s">
        <v>405</v>
      </c>
      <c r="Q46" s="6" t="s">
        <v>406</v>
      </c>
      <c r="R46" s="6" t="s">
        <v>409</v>
      </c>
      <c r="S46" s="6" t="s">
        <v>410</v>
      </c>
      <c r="U46" s="6" t="s">
        <v>405</v>
      </c>
      <c r="V46" s="6" t="s">
        <v>406</v>
      </c>
      <c r="W46" s="6" t="s">
        <v>411</v>
      </c>
      <c r="X46" s="6" t="s">
        <v>412</v>
      </c>
      <c r="Z46" s="6" t="s">
        <v>405</v>
      </c>
      <c r="AA46" s="6" t="s">
        <v>406</v>
      </c>
      <c r="AB46" s="6" t="s">
        <v>926</v>
      </c>
      <c r="AC46" s="6" t="s">
        <v>927</v>
      </c>
      <c r="AE46" s="6" t="s">
        <v>405</v>
      </c>
      <c r="AF46" s="6" t="s">
        <v>406</v>
      </c>
      <c r="AG46" s="6" t="s">
        <v>928</v>
      </c>
      <c r="AH46" s="6" t="s">
        <v>929</v>
      </c>
      <c r="AJ46" s="6" t="s">
        <v>405</v>
      </c>
      <c r="AK46" s="6" t="s">
        <v>406</v>
      </c>
      <c r="AL46" s="6" t="s">
        <v>930</v>
      </c>
      <c r="AM46" s="6" t="s">
        <v>931</v>
      </c>
    </row>
    <row r="47" spans="1:39" x14ac:dyDescent="0.25">
      <c r="A47" s="6" t="s">
        <v>27</v>
      </c>
      <c r="B47" s="6" t="s">
        <v>932</v>
      </c>
      <c r="D47" s="6" t="s">
        <v>1104</v>
      </c>
      <c r="E47" s="6" t="s">
        <v>641</v>
      </c>
      <c r="F47" s="6" t="s">
        <v>25</v>
      </c>
      <c r="G47" s="6" t="s">
        <v>642</v>
      </c>
      <c r="H47" s="6" t="s">
        <v>413</v>
      </c>
      <c r="I47" s="6" t="s">
        <v>414</v>
      </c>
      <c r="K47" s="6" t="s">
        <v>415</v>
      </c>
      <c r="L47" s="6" t="s">
        <v>416</v>
      </c>
      <c r="M47" s="6" t="s">
        <v>417</v>
      </c>
      <c r="N47" s="6" t="s">
        <v>418</v>
      </c>
      <c r="P47" s="6" t="s">
        <v>415</v>
      </c>
      <c r="Q47" s="6" t="s">
        <v>416</v>
      </c>
      <c r="R47" s="6" t="s">
        <v>419</v>
      </c>
      <c r="S47" s="6" t="s">
        <v>420</v>
      </c>
      <c r="U47" s="6" t="s">
        <v>415</v>
      </c>
      <c r="V47" s="6" t="s">
        <v>416</v>
      </c>
      <c r="W47" s="6" t="s">
        <v>421</v>
      </c>
      <c r="X47" s="6" t="s">
        <v>422</v>
      </c>
      <c r="Z47" s="6" t="s">
        <v>415</v>
      </c>
      <c r="AA47" s="6" t="s">
        <v>416</v>
      </c>
      <c r="AB47" s="6" t="s">
        <v>933</v>
      </c>
      <c r="AC47" s="6" t="s">
        <v>934</v>
      </c>
      <c r="AE47" s="6" t="s">
        <v>415</v>
      </c>
      <c r="AF47" s="6" t="s">
        <v>416</v>
      </c>
      <c r="AG47" s="6" t="s">
        <v>935</v>
      </c>
      <c r="AH47" s="6" t="s">
        <v>936</v>
      </c>
      <c r="AJ47" s="6" t="s">
        <v>415</v>
      </c>
      <c r="AK47" s="6" t="s">
        <v>416</v>
      </c>
      <c r="AL47" s="6" t="s">
        <v>937</v>
      </c>
      <c r="AM47" s="6" t="s">
        <v>938</v>
      </c>
    </row>
    <row r="48" spans="1:39" x14ac:dyDescent="0.25">
      <c r="A48" s="6" t="s">
        <v>27</v>
      </c>
      <c r="B48" s="6" t="s">
        <v>939</v>
      </c>
      <c r="D48" s="6" t="s">
        <v>1105</v>
      </c>
      <c r="E48" s="6" t="s">
        <v>643</v>
      </c>
      <c r="F48" s="6" t="s">
        <v>25</v>
      </c>
      <c r="G48" s="6" t="s">
        <v>644</v>
      </c>
      <c r="H48" s="6" t="s">
        <v>423</v>
      </c>
      <c r="I48" s="6" t="s">
        <v>424</v>
      </c>
      <c r="K48" s="6" t="s">
        <v>425</v>
      </c>
      <c r="L48" s="6" t="s">
        <v>426</v>
      </c>
      <c r="M48" s="6" t="s">
        <v>427</v>
      </c>
      <c r="N48" s="6" t="s">
        <v>428</v>
      </c>
      <c r="P48" s="6" t="s">
        <v>425</v>
      </c>
      <c r="Q48" s="6" t="s">
        <v>426</v>
      </c>
      <c r="R48" s="6" t="s">
        <v>429</v>
      </c>
      <c r="S48" s="6" t="s">
        <v>430</v>
      </c>
      <c r="U48" s="6" t="s">
        <v>425</v>
      </c>
      <c r="V48" s="6" t="s">
        <v>426</v>
      </c>
      <c r="W48" s="6" t="s">
        <v>431</v>
      </c>
      <c r="X48" s="6" t="s">
        <v>432</v>
      </c>
      <c r="Z48" s="6" t="s">
        <v>425</v>
      </c>
      <c r="AA48" s="6" t="s">
        <v>426</v>
      </c>
      <c r="AB48" s="6" t="s">
        <v>940</v>
      </c>
      <c r="AC48" s="6" t="s">
        <v>941</v>
      </c>
      <c r="AE48" s="6" t="s">
        <v>425</v>
      </c>
      <c r="AF48" s="6" t="s">
        <v>426</v>
      </c>
      <c r="AG48" s="6" t="s">
        <v>942</v>
      </c>
      <c r="AH48" s="6" t="s">
        <v>943</v>
      </c>
      <c r="AJ48" s="6" t="s">
        <v>425</v>
      </c>
      <c r="AK48" s="6" t="s">
        <v>426</v>
      </c>
      <c r="AL48" s="6" t="s">
        <v>944</v>
      </c>
      <c r="AM48" s="6" t="s">
        <v>945</v>
      </c>
    </row>
    <row r="49" spans="1:39" x14ac:dyDescent="0.25">
      <c r="A49" s="6" t="s">
        <v>27</v>
      </c>
      <c r="B49" s="6" t="s">
        <v>946</v>
      </c>
      <c r="D49" s="6" t="s">
        <v>1106</v>
      </c>
      <c r="E49" s="6" t="s">
        <v>645</v>
      </c>
      <c r="F49" s="6" t="s">
        <v>25</v>
      </c>
      <c r="G49" s="6" t="s">
        <v>646</v>
      </c>
      <c r="H49" s="6" t="s">
        <v>433</v>
      </c>
      <c r="I49" s="6" t="s">
        <v>434</v>
      </c>
      <c r="K49" s="6" t="s">
        <v>435</v>
      </c>
      <c r="L49" s="6" t="s">
        <v>436</v>
      </c>
      <c r="M49" s="6" t="s">
        <v>437</v>
      </c>
      <c r="N49" s="6" t="s">
        <v>438</v>
      </c>
      <c r="P49" s="6" t="s">
        <v>435</v>
      </c>
      <c r="Q49" s="6" t="s">
        <v>436</v>
      </c>
      <c r="R49" s="6" t="s">
        <v>439</v>
      </c>
      <c r="S49" s="6" t="s">
        <v>440</v>
      </c>
      <c r="U49" s="6" t="s">
        <v>435</v>
      </c>
      <c r="V49" s="6" t="s">
        <v>436</v>
      </c>
      <c r="W49" s="6" t="s">
        <v>441</v>
      </c>
      <c r="X49" s="6" t="s">
        <v>442</v>
      </c>
      <c r="Z49" s="6" t="s">
        <v>435</v>
      </c>
      <c r="AA49" s="6" t="s">
        <v>436</v>
      </c>
      <c r="AB49" s="6" t="s">
        <v>947</v>
      </c>
      <c r="AC49" s="6" t="s">
        <v>948</v>
      </c>
      <c r="AE49" s="6" t="s">
        <v>435</v>
      </c>
      <c r="AF49" s="6" t="s">
        <v>436</v>
      </c>
      <c r="AG49" s="6" t="s">
        <v>949</v>
      </c>
      <c r="AH49" s="6" t="s">
        <v>950</v>
      </c>
      <c r="AJ49" s="6" t="s">
        <v>435</v>
      </c>
      <c r="AK49" s="6" t="s">
        <v>436</v>
      </c>
      <c r="AL49" s="6" t="s">
        <v>951</v>
      </c>
      <c r="AM49" s="6" t="s">
        <v>952</v>
      </c>
    </row>
    <row r="50" spans="1:39" x14ac:dyDescent="0.25">
      <c r="A50" s="6" t="s">
        <v>27</v>
      </c>
      <c r="B50" s="6" t="s">
        <v>953</v>
      </c>
      <c r="D50" s="6" t="s">
        <v>1107</v>
      </c>
      <c r="E50" s="6" t="s">
        <v>647</v>
      </c>
      <c r="F50" s="6" t="s">
        <v>25</v>
      </c>
      <c r="G50" s="6" t="s">
        <v>648</v>
      </c>
      <c r="H50" s="6" t="s">
        <v>443</v>
      </c>
      <c r="I50" s="6" t="s">
        <v>444</v>
      </c>
      <c r="K50" s="6" t="s">
        <v>445</v>
      </c>
      <c r="L50" s="6" t="s">
        <v>446</v>
      </c>
      <c r="M50" s="6" t="s">
        <v>447</v>
      </c>
      <c r="N50" s="6" t="s">
        <v>448</v>
      </c>
      <c r="P50" s="6" t="s">
        <v>445</v>
      </c>
      <c r="Q50" s="6" t="s">
        <v>446</v>
      </c>
      <c r="R50" s="6" t="s">
        <v>449</v>
      </c>
      <c r="S50" s="6" t="s">
        <v>450</v>
      </c>
      <c r="U50" s="6" t="s">
        <v>445</v>
      </c>
      <c r="V50" s="6" t="s">
        <v>446</v>
      </c>
      <c r="W50" s="6" t="s">
        <v>451</v>
      </c>
      <c r="X50" s="6" t="s">
        <v>452</v>
      </c>
      <c r="Z50" s="6" t="s">
        <v>445</v>
      </c>
      <c r="AA50" s="6" t="s">
        <v>446</v>
      </c>
      <c r="AB50" s="6" t="s">
        <v>954</v>
      </c>
      <c r="AC50" s="6" t="s">
        <v>955</v>
      </c>
      <c r="AE50" s="6" t="s">
        <v>445</v>
      </c>
      <c r="AF50" s="6" t="s">
        <v>446</v>
      </c>
      <c r="AG50" s="6" t="s">
        <v>956</v>
      </c>
      <c r="AH50" s="6" t="s">
        <v>957</v>
      </c>
      <c r="AJ50" s="6" t="s">
        <v>445</v>
      </c>
      <c r="AK50" s="6" t="s">
        <v>446</v>
      </c>
      <c r="AL50" s="6" t="s">
        <v>958</v>
      </c>
      <c r="AM50" s="6" t="s">
        <v>959</v>
      </c>
    </row>
    <row r="51" spans="1:39" x14ac:dyDescent="0.25">
      <c r="A51" s="6" t="s">
        <v>27</v>
      </c>
      <c r="B51" s="6" t="s">
        <v>960</v>
      </c>
      <c r="D51" s="6" t="s">
        <v>1108</v>
      </c>
      <c r="E51" s="6" t="s">
        <v>649</v>
      </c>
      <c r="F51" s="6" t="s">
        <v>25</v>
      </c>
      <c r="G51" s="6" t="s">
        <v>650</v>
      </c>
      <c r="H51" s="6" t="s">
        <v>453</v>
      </c>
      <c r="I51" s="6" t="s">
        <v>454</v>
      </c>
      <c r="K51" s="6" t="s">
        <v>455</v>
      </c>
      <c r="L51" s="6" t="s">
        <v>456</v>
      </c>
      <c r="M51" s="6" t="s">
        <v>457</v>
      </c>
      <c r="N51" s="6" t="s">
        <v>458</v>
      </c>
      <c r="P51" s="6" t="s">
        <v>455</v>
      </c>
      <c r="Q51" s="6" t="s">
        <v>456</v>
      </c>
      <c r="R51" s="6" t="s">
        <v>459</v>
      </c>
      <c r="S51" s="6" t="s">
        <v>460</v>
      </c>
      <c r="U51" s="6" t="s">
        <v>455</v>
      </c>
      <c r="V51" s="6" t="s">
        <v>456</v>
      </c>
      <c r="W51" s="6" t="s">
        <v>461</v>
      </c>
      <c r="X51" s="6" t="s">
        <v>462</v>
      </c>
      <c r="Z51" s="6" t="s">
        <v>455</v>
      </c>
      <c r="AA51" s="6" t="s">
        <v>456</v>
      </c>
      <c r="AB51" s="6" t="s">
        <v>961</v>
      </c>
      <c r="AC51" s="6" t="s">
        <v>962</v>
      </c>
      <c r="AE51" s="6" t="s">
        <v>455</v>
      </c>
      <c r="AF51" s="6" t="s">
        <v>456</v>
      </c>
      <c r="AG51" s="6" t="s">
        <v>963</v>
      </c>
      <c r="AH51" s="6" t="s">
        <v>964</v>
      </c>
      <c r="AJ51" s="6" t="s">
        <v>455</v>
      </c>
      <c r="AK51" s="6" t="s">
        <v>456</v>
      </c>
      <c r="AL51" s="6" t="s">
        <v>965</v>
      </c>
      <c r="AM51" s="6" t="s">
        <v>966</v>
      </c>
    </row>
    <row r="52" spans="1:39" x14ac:dyDescent="0.25">
      <c r="A52" s="6" t="s">
        <v>27</v>
      </c>
      <c r="B52" s="6" t="s">
        <v>967</v>
      </c>
      <c r="D52" s="6" t="s">
        <v>1109</v>
      </c>
      <c r="E52" s="6" t="s">
        <v>651</v>
      </c>
      <c r="F52" s="6" t="s">
        <v>25</v>
      </c>
      <c r="G52" s="6" t="s">
        <v>652</v>
      </c>
      <c r="H52" s="6" t="s">
        <v>463</v>
      </c>
      <c r="I52" s="6" t="s">
        <v>464</v>
      </c>
      <c r="K52" s="6" t="s">
        <v>465</v>
      </c>
      <c r="L52" s="6" t="s">
        <v>466</v>
      </c>
      <c r="M52" s="6" t="s">
        <v>467</v>
      </c>
      <c r="N52" s="6" t="s">
        <v>468</v>
      </c>
      <c r="P52" s="6" t="s">
        <v>465</v>
      </c>
      <c r="Q52" s="6" t="s">
        <v>466</v>
      </c>
      <c r="R52" s="6" t="s">
        <v>469</v>
      </c>
      <c r="S52" s="6" t="s">
        <v>470</v>
      </c>
      <c r="U52" s="6" t="s">
        <v>465</v>
      </c>
      <c r="V52" s="6" t="s">
        <v>466</v>
      </c>
      <c r="W52" s="6" t="s">
        <v>471</v>
      </c>
      <c r="X52" s="6" t="s">
        <v>472</v>
      </c>
      <c r="Z52" s="6" t="s">
        <v>465</v>
      </c>
      <c r="AA52" s="6" t="s">
        <v>466</v>
      </c>
      <c r="AB52" s="6" t="s">
        <v>968</v>
      </c>
      <c r="AC52" s="6" t="s">
        <v>969</v>
      </c>
      <c r="AE52" s="6" t="s">
        <v>465</v>
      </c>
      <c r="AF52" s="6" t="s">
        <v>466</v>
      </c>
      <c r="AG52" s="6" t="s">
        <v>970</v>
      </c>
      <c r="AH52" s="6" t="s">
        <v>971</v>
      </c>
      <c r="AJ52" s="6" t="s">
        <v>465</v>
      </c>
      <c r="AK52" s="6" t="s">
        <v>466</v>
      </c>
      <c r="AL52" s="6" t="s">
        <v>972</v>
      </c>
      <c r="AM52" s="6" t="s">
        <v>973</v>
      </c>
    </row>
    <row r="53" spans="1:39" x14ac:dyDescent="0.25">
      <c r="A53" s="6" t="s">
        <v>27</v>
      </c>
      <c r="B53" s="6" t="s">
        <v>974</v>
      </c>
      <c r="D53" s="6" t="s">
        <v>1110</v>
      </c>
      <c r="E53" s="6" t="s">
        <v>653</v>
      </c>
      <c r="F53" s="6" t="s">
        <v>25</v>
      </c>
      <c r="G53" s="6" t="s">
        <v>654</v>
      </c>
      <c r="H53" s="6" t="s">
        <v>473</v>
      </c>
      <c r="I53" s="6" t="s">
        <v>474</v>
      </c>
      <c r="K53" s="6" t="s">
        <v>475</v>
      </c>
      <c r="L53" s="6" t="s">
        <v>476</v>
      </c>
      <c r="M53" s="6" t="s">
        <v>477</v>
      </c>
      <c r="N53" s="6" t="s">
        <v>478</v>
      </c>
      <c r="P53" s="6" t="s">
        <v>475</v>
      </c>
      <c r="Q53" s="6" t="s">
        <v>476</v>
      </c>
      <c r="R53" s="6" t="s">
        <v>479</v>
      </c>
      <c r="S53" s="6" t="s">
        <v>480</v>
      </c>
      <c r="U53" s="6" t="s">
        <v>475</v>
      </c>
      <c r="V53" s="6" t="s">
        <v>476</v>
      </c>
      <c r="W53" s="6" t="s">
        <v>481</v>
      </c>
      <c r="X53" s="6" t="s">
        <v>482</v>
      </c>
      <c r="Z53" s="6" t="s">
        <v>475</v>
      </c>
      <c r="AA53" s="6" t="s">
        <v>476</v>
      </c>
      <c r="AB53" s="6" t="s">
        <v>975</v>
      </c>
      <c r="AC53" s="6" t="s">
        <v>976</v>
      </c>
      <c r="AE53" s="6" t="s">
        <v>475</v>
      </c>
      <c r="AF53" s="6" t="s">
        <v>476</v>
      </c>
      <c r="AG53" s="6" t="s">
        <v>977</v>
      </c>
      <c r="AH53" s="6" t="s">
        <v>978</v>
      </c>
      <c r="AJ53" s="6" t="s">
        <v>475</v>
      </c>
      <c r="AK53" s="6" t="s">
        <v>476</v>
      </c>
      <c r="AL53" s="6" t="s">
        <v>979</v>
      </c>
      <c r="AM53" s="6" t="s">
        <v>980</v>
      </c>
    </row>
    <row r="54" spans="1:39" x14ac:dyDescent="0.25">
      <c r="A54" s="6" t="s">
        <v>27</v>
      </c>
      <c r="B54" s="6" t="s">
        <v>981</v>
      </c>
      <c r="D54" s="6" t="s">
        <v>1111</v>
      </c>
      <c r="E54" s="6" t="s">
        <v>655</v>
      </c>
      <c r="F54" s="6" t="s">
        <v>25</v>
      </c>
      <c r="G54" s="6" t="s">
        <v>656</v>
      </c>
      <c r="H54" s="6" t="s">
        <v>483</v>
      </c>
      <c r="I54" s="6" t="s">
        <v>484</v>
      </c>
      <c r="K54" s="6" t="s">
        <v>485</v>
      </c>
      <c r="L54" s="6" t="s">
        <v>486</v>
      </c>
      <c r="M54" s="6" t="s">
        <v>487</v>
      </c>
      <c r="N54" s="6" t="s">
        <v>488</v>
      </c>
      <c r="P54" s="6" t="s">
        <v>485</v>
      </c>
      <c r="Q54" s="6" t="s">
        <v>486</v>
      </c>
      <c r="R54" s="6" t="s">
        <v>489</v>
      </c>
      <c r="S54" s="6" t="s">
        <v>490</v>
      </c>
      <c r="U54" s="6" t="s">
        <v>485</v>
      </c>
      <c r="V54" s="6" t="s">
        <v>486</v>
      </c>
      <c r="W54" s="6" t="s">
        <v>491</v>
      </c>
      <c r="X54" s="6" t="s">
        <v>492</v>
      </c>
      <c r="Z54" s="6" t="s">
        <v>485</v>
      </c>
      <c r="AA54" s="6" t="s">
        <v>486</v>
      </c>
      <c r="AB54" s="6" t="s">
        <v>982</v>
      </c>
      <c r="AC54" s="6" t="s">
        <v>983</v>
      </c>
      <c r="AE54" s="6" t="s">
        <v>485</v>
      </c>
      <c r="AF54" s="6" t="s">
        <v>486</v>
      </c>
      <c r="AG54" s="6" t="s">
        <v>984</v>
      </c>
      <c r="AH54" s="6" t="s">
        <v>985</v>
      </c>
      <c r="AJ54" s="6" t="s">
        <v>485</v>
      </c>
      <c r="AK54" s="6" t="s">
        <v>486</v>
      </c>
      <c r="AL54" s="6" t="s">
        <v>986</v>
      </c>
      <c r="AM54" s="6" t="s">
        <v>987</v>
      </c>
    </row>
    <row r="55" spans="1:39" x14ac:dyDescent="0.25">
      <c r="A55" s="6" t="s">
        <v>27</v>
      </c>
      <c r="B55" s="6" t="s">
        <v>988</v>
      </c>
      <c r="D55" s="6" t="s">
        <v>1112</v>
      </c>
      <c r="E55" s="6" t="s">
        <v>657</v>
      </c>
      <c r="F55" s="6" t="s">
        <v>25</v>
      </c>
      <c r="G55" s="6" t="s">
        <v>658</v>
      </c>
      <c r="H55" s="6" t="s">
        <v>493</v>
      </c>
      <c r="I55" s="6" t="s">
        <v>494</v>
      </c>
      <c r="K55" s="6" t="s">
        <v>495</v>
      </c>
      <c r="L55" s="6" t="s">
        <v>496</v>
      </c>
      <c r="M55" s="6" t="s">
        <v>497</v>
      </c>
      <c r="N55" s="6" t="s">
        <v>498</v>
      </c>
      <c r="P55" s="6" t="s">
        <v>495</v>
      </c>
      <c r="Q55" s="6" t="s">
        <v>496</v>
      </c>
      <c r="R55" s="6" t="s">
        <v>499</v>
      </c>
      <c r="S55" s="6" t="s">
        <v>500</v>
      </c>
      <c r="U55" s="6" t="s">
        <v>495</v>
      </c>
      <c r="V55" s="6" t="s">
        <v>496</v>
      </c>
      <c r="W55" s="6" t="s">
        <v>501</v>
      </c>
      <c r="X55" s="6" t="s">
        <v>502</v>
      </c>
      <c r="Z55" s="6" t="s">
        <v>495</v>
      </c>
      <c r="AA55" s="6" t="s">
        <v>496</v>
      </c>
      <c r="AB55" s="6" t="s">
        <v>989</v>
      </c>
      <c r="AC55" s="6" t="s">
        <v>990</v>
      </c>
      <c r="AE55" s="6" t="s">
        <v>495</v>
      </c>
      <c r="AF55" s="6" t="s">
        <v>496</v>
      </c>
      <c r="AG55" s="6" t="s">
        <v>991</v>
      </c>
      <c r="AH55" s="6" t="s">
        <v>992</v>
      </c>
      <c r="AJ55" s="6" t="s">
        <v>495</v>
      </c>
      <c r="AK55" s="6" t="s">
        <v>496</v>
      </c>
      <c r="AL55" s="6" t="s">
        <v>993</v>
      </c>
      <c r="AM55" s="6" t="s">
        <v>994</v>
      </c>
    </row>
    <row r="56" spans="1:39" x14ac:dyDescent="0.25">
      <c r="A56" s="6" t="s">
        <v>27</v>
      </c>
      <c r="B56" s="6" t="s">
        <v>995</v>
      </c>
      <c r="D56" s="6" t="s">
        <v>1113</v>
      </c>
      <c r="E56" s="6" t="s">
        <v>659</v>
      </c>
      <c r="F56" s="6" t="s">
        <v>25</v>
      </c>
      <c r="G56" s="6" t="s">
        <v>660</v>
      </c>
      <c r="H56" s="6" t="s">
        <v>503</v>
      </c>
      <c r="I56" s="6" t="s">
        <v>504</v>
      </c>
      <c r="K56" s="6" t="s">
        <v>505</v>
      </c>
      <c r="L56" s="6" t="s">
        <v>506</v>
      </c>
      <c r="M56" s="6" t="s">
        <v>507</v>
      </c>
      <c r="N56" s="6" t="s">
        <v>508</v>
      </c>
      <c r="P56" s="6" t="s">
        <v>505</v>
      </c>
      <c r="Q56" s="6" t="s">
        <v>506</v>
      </c>
      <c r="R56" s="6" t="s">
        <v>509</v>
      </c>
      <c r="S56" s="6" t="s">
        <v>510</v>
      </c>
      <c r="U56" s="6" t="s">
        <v>505</v>
      </c>
      <c r="V56" s="6" t="s">
        <v>506</v>
      </c>
      <c r="W56" s="6" t="s">
        <v>511</v>
      </c>
      <c r="X56" s="6" t="s">
        <v>512</v>
      </c>
      <c r="Z56" s="6" t="s">
        <v>505</v>
      </c>
      <c r="AA56" s="6" t="s">
        <v>506</v>
      </c>
      <c r="AB56" s="6" t="s">
        <v>996</v>
      </c>
      <c r="AC56" s="6" t="s">
        <v>997</v>
      </c>
      <c r="AE56" s="6" t="s">
        <v>505</v>
      </c>
      <c r="AF56" s="6" t="s">
        <v>506</v>
      </c>
      <c r="AG56" s="6" t="s">
        <v>998</v>
      </c>
      <c r="AH56" s="6" t="s">
        <v>999</v>
      </c>
      <c r="AJ56" s="6" t="s">
        <v>505</v>
      </c>
      <c r="AK56" s="6" t="s">
        <v>506</v>
      </c>
      <c r="AL56" s="6" t="s">
        <v>1000</v>
      </c>
      <c r="AM56" s="6" t="s">
        <v>1001</v>
      </c>
    </row>
    <row r="57" spans="1:39" x14ac:dyDescent="0.25">
      <c r="A57" s="6" t="s">
        <v>27</v>
      </c>
      <c r="B57" s="6" t="s">
        <v>1002</v>
      </c>
      <c r="D57" s="6" t="s">
        <v>1114</v>
      </c>
      <c r="E57" s="6" t="s">
        <v>661</v>
      </c>
      <c r="F57" s="6" t="s">
        <v>25</v>
      </c>
      <c r="G57" s="6" t="s">
        <v>662</v>
      </c>
      <c r="H57" s="6" t="s">
        <v>513</v>
      </c>
      <c r="I57" s="6" t="s">
        <v>514</v>
      </c>
      <c r="K57" s="6" t="s">
        <v>515</v>
      </c>
      <c r="L57" s="6" t="s">
        <v>516</v>
      </c>
      <c r="M57" s="6" t="s">
        <v>517</v>
      </c>
      <c r="N57" s="6" t="s">
        <v>518</v>
      </c>
      <c r="P57" s="6" t="s">
        <v>515</v>
      </c>
      <c r="Q57" s="6" t="s">
        <v>516</v>
      </c>
      <c r="R57" s="6" t="s">
        <v>519</v>
      </c>
      <c r="S57" s="6" t="s">
        <v>520</v>
      </c>
      <c r="U57" s="6" t="s">
        <v>515</v>
      </c>
      <c r="V57" s="6" t="s">
        <v>516</v>
      </c>
      <c r="W57" s="6" t="s">
        <v>521</v>
      </c>
      <c r="X57" s="6" t="s">
        <v>522</v>
      </c>
      <c r="Z57" s="6" t="s">
        <v>515</v>
      </c>
      <c r="AA57" s="6" t="s">
        <v>516</v>
      </c>
      <c r="AB57" s="6" t="s">
        <v>1003</v>
      </c>
      <c r="AC57" s="6" t="s">
        <v>1004</v>
      </c>
      <c r="AE57" s="6" t="s">
        <v>515</v>
      </c>
      <c r="AF57" s="6" t="s">
        <v>516</v>
      </c>
      <c r="AG57" s="6" t="s">
        <v>1005</v>
      </c>
      <c r="AH57" s="6" t="s">
        <v>1006</v>
      </c>
      <c r="AJ57" s="6" t="s">
        <v>515</v>
      </c>
      <c r="AK57" s="6" t="s">
        <v>516</v>
      </c>
      <c r="AL57" s="6" t="s">
        <v>1007</v>
      </c>
      <c r="AM57" s="6" t="s">
        <v>1008</v>
      </c>
    </row>
    <row r="58" spans="1:39" x14ac:dyDescent="0.25">
      <c r="A58" s="6" t="s">
        <v>27</v>
      </c>
      <c r="B58" s="6" t="s">
        <v>1009</v>
      </c>
      <c r="D58" s="6" t="s">
        <v>1115</v>
      </c>
      <c r="E58" s="6" t="s">
        <v>663</v>
      </c>
      <c r="F58" s="6" t="s">
        <v>25</v>
      </c>
      <c r="G58" s="6" t="s">
        <v>664</v>
      </c>
      <c r="H58" s="6" t="s">
        <v>523</v>
      </c>
      <c r="I58" s="6" t="s">
        <v>524</v>
      </c>
      <c r="K58" s="6" t="s">
        <v>525</v>
      </c>
      <c r="L58" s="6" t="s">
        <v>526</v>
      </c>
      <c r="M58" s="6" t="s">
        <v>527</v>
      </c>
      <c r="N58" s="6" t="s">
        <v>528</v>
      </c>
      <c r="P58" s="6" t="s">
        <v>525</v>
      </c>
      <c r="Q58" s="6" t="s">
        <v>526</v>
      </c>
      <c r="R58" s="6" t="s">
        <v>529</v>
      </c>
      <c r="S58" s="6" t="s">
        <v>530</v>
      </c>
      <c r="U58" s="6" t="s">
        <v>525</v>
      </c>
      <c r="V58" s="6" t="s">
        <v>526</v>
      </c>
      <c r="W58" s="6" t="s">
        <v>531</v>
      </c>
      <c r="X58" s="6" t="s">
        <v>532</v>
      </c>
      <c r="Z58" s="6" t="s">
        <v>525</v>
      </c>
      <c r="AA58" s="6" t="s">
        <v>526</v>
      </c>
      <c r="AB58" s="6" t="s">
        <v>1010</v>
      </c>
      <c r="AC58" s="6" t="s">
        <v>1011</v>
      </c>
      <c r="AE58" s="6" t="s">
        <v>525</v>
      </c>
      <c r="AF58" s="6" t="s">
        <v>526</v>
      </c>
      <c r="AG58" s="6" t="s">
        <v>1012</v>
      </c>
      <c r="AH58" s="6" t="s">
        <v>1013</v>
      </c>
      <c r="AJ58" s="6" t="s">
        <v>525</v>
      </c>
      <c r="AK58" s="6" t="s">
        <v>526</v>
      </c>
      <c r="AL58" s="6" t="s">
        <v>1014</v>
      </c>
      <c r="AM58" s="6" t="s">
        <v>1015</v>
      </c>
    </row>
    <row r="59" spans="1:39" x14ac:dyDescent="0.25">
      <c r="A59" s="6" t="s">
        <v>27</v>
      </c>
      <c r="B59" s="6" t="s">
        <v>1016</v>
      </c>
      <c r="D59" s="6" t="s">
        <v>1116</v>
      </c>
      <c r="E59" s="6" t="s">
        <v>665</v>
      </c>
      <c r="F59" s="6" t="s">
        <v>25</v>
      </c>
      <c r="G59" s="6" t="s">
        <v>666</v>
      </c>
      <c r="H59" s="6" t="s">
        <v>533</v>
      </c>
      <c r="I59" s="6" t="s">
        <v>534</v>
      </c>
      <c r="K59" s="6" t="s">
        <v>535</v>
      </c>
      <c r="L59" s="6" t="s">
        <v>536</v>
      </c>
      <c r="M59" s="6" t="s">
        <v>537</v>
      </c>
      <c r="N59" s="6" t="s">
        <v>538</v>
      </c>
      <c r="P59" s="6" t="s">
        <v>535</v>
      </c>
      <c r="Q59" s="6" t="s">
        <v>536</v>
      </c>
      <c r="R59" s="6" t="s">
        <v>539</v>
      </c>
      <c r="S59" s="6" t="s">
        <v>540</v>
      </c>
      <c r="U59" s="6" t="s">
        <v>535</v>
      </c>
      <c r="V59" s="6" t="s">
        <v>536</v>
      </c>
      <c r="W59" s="6" t="s">
        <v>541</v>
      </c>
      <c r="X59" s="6" t="s">
        <v>542</v>
      </c>
      <c r="Z59" s="6" t="s">
        <v>535</v>
      </c>
      <c r="AA59" s="6" t="s">
        <v>536</v>
      </c>
      <c r="AB59" s="6" t="s">
        <v>1017</v>
      </c>
      <c r="AC59" s="6" t="s">
        <v>1018</v>
      </c>
      <c r="AE59" s="6" t="s">
        <v>535</v>
      </c>
      <c r="AF59" s="6" t="s">
        <v>536</v>
      </c>
      <c r="AG59" s="6" t="s">
        <v>1019</v>
      </c>
      <c r="AH59" s="6" t="s">
        <v>1020</v>
      </c>
      <c r="AJ59" s="6" t="s">
        <v>535</v>
      </c>
      <c r="AK59" s="6" t="s">
        <v>536</v>
      </c>
      <c r="AL59" s="6" t="s">
        <v>1021</v>
      </c>
      <c r="AM59" s="6" t="s">
        <v>1022</v>
      </c>
    </row>
    <row r="60" spans="1:39" x14ac:dyDescent="0.25">
      <c r="A60" s="6" t="s">
        <v>27</v>
      </c>
      <c r="B60" s="6" t="s">
        <v>1023</v>
      </c>
      <c r="D60" s="6" t="s">
        <v>1117</v>
      </c>
      <c r="E60" s="6" t="s">
        <v>667</v>
      </c>
      <c r="F60" s="6" t="s">
        <v>25</v>
      </c>
      <c r="G60" s="6" t="s">
        <v>668</v>
      </c>
      <c r="H60" s="6" t="s">
        <v>543</v>
      </c>
      <c r="I60" s="6" t="s">
        <v>544</v>
      </c>
      <c r="K60" s="6" t="s">
        <v>545</v>
      </c>
      <c r="L60" s="6" t="s">
        <v>546</v>
      </c>
      <c r="M60" s="6" t="s">
        <v>547</v>
      </c>
      <c r="N60" s="6" t="s">
        <v>548</v>
      </c>
      <c r="P60" s="6" t="s">
        <v>545</v>
      </c>
      <c r="Q60" s="6" t="s">
        <v>546</v>
      </c>
      <c r="R60" s="6" t="s">
        <v>549</v>
      </c>
      <c r="S60" s="6" t="s">
        <v>550</v>
      </c>
      <c r="U60" s="6" t="s">
        <v>545</v>
      </c>
      <c r="V60" s="6" t="s">
        <v>546</v>
      </c>
      <c r="W60" s="6" t="s">
        <v>551</v>
      </c>
      <c r="X60" s="6" t="s">
        <v>552</v>
      </c>
      <c r="Z60" s="6" t="s">
        <v>545</v>
      </c>
      <c r="AA60" s="6" t="s">
        <v>546</v>
      </c>
      <c r="AB60" s="6" t="s">
        <v>1024</v>
      </c>
      <c r="AC60" s="6" t="s">
        <v>1025</v>
      </c>
      <c r="AE60" s="6" t="s">
        <v>545</v>
      </c>
      <c r="AF60" s="6" t="s">
        <v>546</v>
      </c>
      <c r="AG60" s="6" t="s">
        <v>1026</v>
      </c>
      <c r="AH60" s="6" t="s">
        <v>1027</v>
      </c>
      <c r="AJ60" s="6" t="s">
        <v>545</v>
      </c>
      <c r="AK60" s="6" t="s">
        <v>546</v>
      </c>
      <c r="AL60" s="6" t="s">
        <v>1028</v>
      </c>
      <c r="AM60" s="6" t="s">
        <v>1029</v>
      </c>
    </row>
    <row r="61" spans="1:39" x14ac:dyDescent="0.25">
      <c r="A61" s="6" t="s">
        <v>27</v>
      </c>
      <c r="B61" s="6" t="s">
        <v>1030</v>
      </c>
      <c r="D61" s="6" t="s">
        <v>1118</v>
      </c>
      <c r="E61" s="6" t="s">
        <v>669</v>
      </c>
      <c r="F61" s="6" t="s">
        <v>25</v>
      </c>
      <c r="G61" s="6" t="s">
        <v>670</v>
      </c>
      <c r="H61" s="6" t="s">
        <v>553</v>
      </c>
      <c r="I61" s="6" t="s">
        <v>554</v>
      </c>
      <c r="K61" s="6" t="s">
        <v>555</v>
      </c>
      <c r="L61" s="6" t="s">
        <v>556</v>
      </c>
      <c r="M61" s="6" t="s">
        <v>557</v>
      </c>
      <c r="N61" s="6" t="s">
        <v>558</v>
      </c>
      <c r="P61" s="6" t="s">
        <v>555</v>
      </c>
      <c r="Q61" s="6" t="s">
        <v>556</v>
      </c>
      <c r="R61" s="6" t="s">
        <v>559</v>
      </c>
      <c r="S61" s="6" t="s">
        <v>560</v>
      </c>
      <c r="U61" s="6" t="s">
        <v>555</v>
      </c>
      <c r="V61" s="6" t="s">
        <v>556</v>
      </c>
      <c r="W61" s="6" t="s">
        <v>561</v>
      </c>
      <c r="X61" s="6" t="s">
        <v>562</v>
      </c>
      <c r="Z61" s="6" t="s">
        <v>555</v>
      </c>
      <c r="AA61" s="6" t="s">
        <v>556</v>
      </c>
      <c r="AB61" s="6" t="s">
        <v>1031</v>
      </c>
      <c r="AC61" s="6" t="s">
        <v>1032</v>
      </c>
      <c r="AE61" s="6" t="s">
        <v>555</v>
      </c>
      <c r="AF61" s="6" t="s">
        <v>556</v>
      </c>
      <c r="AG61" s="6" t="s">
        <v>1033</v>
      </c>
      <c r="AH61" s="6" t="s">
        <v>1034</v>
      </c>
      <c r="AJ61" s="6" t="s">
        <v>555</v>
      </c>
      <c r="AK61" s="6" t="s">
        <v>556</v>
      </c>
      <c r="AL61" s="6" t="s">
        <v>1035</v>
      </c>
      <c r="AM61" s="6" t="s">
        <v>1036</v>
      </c>
    </row>
    <row r="62" spans="1:39" x14ac:dyDescent="0.25">
      <c r="A62" s="6" t="s">
        <v>27</v>
      </c>
      <c r="B62" s="6" t="s">
        <v>1037</v>
      </c>
      <c r="D62" s="6" t="s">
        <v>1119</v>
      </c>
      <c r="E62" s="6" t="s">
        <v>671</v>
      </c>
      <c r="F62" s="6" t="s">
        <v>25</v>
      </c>
      <c r="G62" s="6" t="s">
        <v>672</v>
      </c>
      <c r="H62" s="6" t="s">
        <v>563</v>
      </c>
      <c r="I62" s="6" t="s">
        <v>564</v>
      </c>
      <c r="K62" s="6" t="s">
        <v>565</v>
      </c>
      <c r="L62" s="6" t="s">
        <v>566</v>
      </c>
      <c r="M62" s="6" t="s">
        <v>567</v>
      </c>
      <c r="N62" s="6" t="s">
        <v>568</v>
      </c>
      <c r="P62" s="6" t="s">
        <v>565</v>
      </c>
      <c r="Q62" s="6" t="s">
        <v>566</v>
      </c>
      <c r="R62" s="6" t="s">
        <v>569</v>
      </c>
      <c r="S62" s="6" t="s">
        <v>570</v>
      </c>
      <c r="U62" s="6" t="s">
        <v>565</v>
      </c>
      <c r="V62" s="6" t="s">
        <v>566</v>
      </c>
      <c r="W62" s="6" t="s">
        <v>571</v>
      </c>
      <c r="X62" s="6" t="s">
        <v>572</v>
      </c>
      <c r="Z62" s="6" t="s">
        <v>565</v>
      </c>
      <c r="AA62" s="6" t="s">
        <v>566</v>
      </c>
      <c r="AB62" s="6" t="s">
        <v>1038</v>
      </c>
      <c r="AC62" s="6" t="s">
        <v>1039</v>
      </c>
      <c r="AE62" s="6" t="s">
        <v>565</v>
      </c>
      <c r="AF62" s="6" t="s">
        <v>566</v>
      </c>
      <c r="AG62" s="6" t="s">
        <v>1040</v>
      </c>
      <c r="AH62" s="6" t="s">
        <v>1041</v>
      </c>
      <c r="AJ62" s="6" t="s">
        <v>565</v>
      </c>
      <c r="AK62" s="6" t="s">
        <v>566</v>
      </c>
      <c r="AL62" s="6" t="s">
        <v>1042</v>
      </c>
      <c r="AM62" s="6" t="s">
        <v>1043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Read Me</vt:lpstr>
      <vt:lpstr>Options</vt:lpstr>
      <vt:lpstr>Report</vt:lpstr>
      <vt:lpstr>AccountType</vt:lpstr>
      <vt:lpstr>BlankZero</vt:lpstr>
      <vt:lpstr>BudgetName</vt:lpstr>
      <vt:lpstr>ColumnEndDate</vt:lpstr>
      <vt:lpstr>ColumnStartDate</vt:lpstr>
      <vt:lpstr>DateFilter</vt:lpstr>
      <vt:lpstr>EndDate</vt:lpstr>
      <vt:lpstr>GLAccountNo</vt:lpstr>
      <vt:lpstr>GLTotalingFilter</vt:lpstr>
      <vt:lpstr>Heading</vt:lpstr>
      <vt:lpstr>PeriodType</vt:lpstr>
      <vt:lpstr>Report!Print_Titles</vt:lpstr>
      <vt:lpstr>StartDate</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vs Actual by Period</dc:title>
  <dc:subject>Jet Reports</dc:subject>
  <dc:creator>Joe Little</dc:creator>
  <dc:description>Budget, Actual, Variance and Variance percentage for a user specified range of accounts by period.</dc:description>
  <cp:lastModifiedBy>Kim R. Duey</cp:lastModifiedBy>
  <cp:lastPrinted>2010-09-28T21:34:17Z</cp:lastPrinted>
  <dcterms:created xsi:type="dcterms:W3CDTF">2010-09-16T00:50:53Z</dcterms:created>
  <dcterms:modified xsi:type="dcterms:W3CDTF">2018-11-13T17:23:25Z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